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ba9a1c045e8894/Desktop/"/>
    </mc:Choice>
  </mc:AlternateContent>
  <xr:revisionPtr revIDLastSave="234" documentId="11_A718915F2712C841BFF2C1B00C4A66C355EBF12E" xr6:coauthVersionLast="47" xr6:coauthVersionMax="47" xr10:uidLastSave="{620005DB-8195-4DC5-8937-D62014CFE911}"/>
  <bookViews>
    <workbookView xWindow="-110" yWindow="-110" windowWidth="22780" windowHeight="14540" activeTab="4" xr2:uid="{00000000-000D-0000-FFFF-FFFF00000000}"/>
  </bookViews>
  <sheets>
    <sheet name="Revnue analysis" sheetId="7" r:id="rId1"/>
    <sheet name="IS-CF" sheetId="1" r:id="rId2"/>
    <sheet name="BS" sheetId="2" r:id="rId3"/>
    <sheet name="D&amp;A" sheetId="3" r:id="rId4"/>
    <sheet name="WK Cap" sheetId="4" r:id="rId5"/>
    <sheet name="Debt &amp; Cash" sheetId="5" r:id="rId6"/>
    <sheet name="Equity" sheetId="6" r:id="rId7"/>
    <sheet name="DCF" sheetId="8" r:id="rId8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7" i="8" l="1"/>
  <c r="D48" i="8"/>
  <c r="B48" i="8"/>
  <c r="K29" i="1"/>
  <c r="L29" i="1" s="1"/>
  <c r="M29" i="1" s="1"/>
  <c r="N29" i="1" s="1"/>
  <c r="O29" i="1" s="1"/>
  <c r="P29" i="1" s="1"/>
  <c r="Q29" i="1" s="1"/>
  <c r="R29" i="1" s="1"/>
  <c r="J29" i="1"/>
  <c r="I29" i="1"/>
  <c r="H4" i="1"/>
  <c r="F46" i="8"/>
  <c r="F47" i="8" s="1"/>
  <c r="F44" i="8"/>
  <c r="F43" i="8"/>
  <c r="J42" i="8"/>
  <c r="K42" i="8" s="1"/>
  <c r="H42" i="8"/>
  <c r="G42" i="8" s="1"/>
  <c r="D47" i="8"/>
  <c r="B47" i="8"/>
  <c r="C2" i="8"/>
  <c r="F15" i="4"/>
  <c r="G15" i="4"/>
  <c r="H15" i="4"/>
  <c r="I15" i="4"/>
  <c r="J15" i="4"/>
  <c r="K15" i="4"/>
  <c r="L15" i="4"/>
  <c r="M15" i="4"/>
  <c r="N15" i="4" s="1"/>
  <c r="O15" i="4" s="1"/>
  <c r="F16" i="4"/>
  <c r="G16" i="4"/>
  <c r="H16" i="4"/>
  <c r="I16" i="4"/>
  <c r="J16" i="4"/>
  <c r="K16" i="4"/>
  <c r="L16" i="4"/>
  <c r="M16" i="4" s="1"/>
  <c r="N16" i="4" s="1"/>
  <c r="O16" i="4" s="1"/>
  <c r="G14" i="4"/>
  <c r="H14" i="4" s="1"/>
  <c r="I14" i="4" s="1"/>
  <c r="J14" i="4" s="1"/>
  <c r="K14" i="4" s="1"/>
  <c r="L14" i="4" s="1"/>
  <c r="M14" i="4" s="1"/>
  <c r="N14" i="4" s="1"/>
  <c r="O14" i="4" s="1"/>
  <c r="F14" i="4"/>
  <c r="E21" i="4"/>
  <c r="D21" i="4"/>
  <c r="B6" i="1"/>
  <c r="C49" i="8"/>
  <c r="C48" i="8" l="1"/>
  <c r="C47" i="8"/>
  <c r="F36" i="8"/>
  <c r="F35" i="8" s="1"/>
  <c r="F38" i="8"/>
  <c r="F39" i="8" s="1"/>
  <c r="H34" i="8"/>
  <c r="G34" i="8" s="1"/>
  <c r="J34" i="8"/>
  <c r="K34" i="8" s="1"/>
  <c r="D31" i="8"/>
  <c r="C31" i="8" s="1"/>
  <c r="D29" i="8"/>
  <c r="C29" i="8" s="1"/>
  <c r="D28" i="8"/>
  <c r="C28" i="8" s="1"/>
  <c r="D27" i="8"/>
  <c r="C27" i="8" s="1"/>
  <c r="O13" i="8" l="1"/>
  <c r="O16" i="8" s="1"/>
  <c r="R4" i="8"/>
  <c r="E46" i="2" l="1"/>
  <c r="F46" i="2" s="1"/>
  <c r="G46" i="2" s="1"/>
  <c r="H46" i="2" s="1"/>
  <c r="I46" i="2" s="1"/>
  <c r="J46" i="2" s="1"/>
  <c r="K46" i="2" s="1"/>
  <c r="L46" i="2" s="1"/>
  <c r="M46" i="2" s="1"/>
  <c r="N46" i="2" s="1"/>
  <c r="E36" i="2"/>
  <c r="F36" i="2" s="1"/>
  <c r="G36" i="2" s="1"/>
  <c r="H36" i="2" s="1"/>
  <c r="I36" i="2" s="1"/>
  <c r="J36" i="2" s="1"/>
  <c r="K36" i="2" s="1"/>
  <c r="L36" i="2" s="1"/>
  <c r="M36" i="2" s="1"/>
  <c r="N36" i="2" s="1"/>
  <c r="E35" i="2"/>
  <c r="F35" i="2" s="1"/>
  <c r="G35" i="2" s="1"/>
  <c r="H35" i="2" s="1"/>
  <c r="I35" i="2" s="1"/>
  <c r="J35" i="2" s="1"/>
  <c r="K35" i="2" s="1"/>
  <c r="L35" i="2" s="1"/>
  <c r="M35" i="2" s="1"/>
  <c r="N35" i="2" s="1"/>
  <c r="F28" i="2"/>
  <c r="G28" i="2" s="1"/>
  <c r="H28" i="2" s="1"/>
  <c r="I28" i="2" s="1"/>
  <c r="J28" i="2" s="1"/>
  <c r="K28" i="2" s="1"/>
  <c r="L28" i="2" s="1"/>
  <c r="M28" i="2" s="1"/>
  <c r="N28" i="2" s="1"/>
  <c r="E30" i="2"/>
  <c r="F30" i="2" s="1"/>
  <c r="G30" i="2" s="1"/>
  <c r="H30" i="2" s="1"/>
  <c r="I30" i="2" s="1"/>
  <c r="J30" i="2" s="1"/>
  <c r="K30" i="2" s="1"/>
  <c r="L30" i="2" s="1"/>
  <c r="M30" i="2" s="1"/>
  <c r="N30" i="2" s="1"/>
  <c r="E29" i="2"/>
  <c r="F29" i="2" s="1"/>
  <c r="G29" i="2" s="1"/>
  <c r="H29" i="2" s="1"/>
  <c r="I29" i="2" s="1"/>
  <c r="J29" i="2" s="1"/>
  <c r="K29" i="2" s="1"/>
  <c r="L29" i="2" s="1"/>
  <c r="M29" i="2" s="1"/>
  <c r="N29" i="2" s="1"/>
  <c r="E28" i="2"/>
  <c r="E27" i="2"/>
  <c r="F27" i="2" s="1"/>
  <c r="G27" i="2" s="1"/>
  <c r="H27" i="2" s="1"/>
  <c r="I27" i="2" s="1"/>
  <c r="J27" i="2" s="1"/>
  <c r="K27" i="2" s="1"/>
  <c r="L27" i="2" s="1"/>
  <c r="M27" i="2" s="1"/>
  <c r="N27" i="2" s="1"/>
  <c r="E26" i="2"/>
  <c r="E31" i="2" s="1"/>
  <c r="E18" i="2"/>
  <c r="F18" i="2" s="1"/>
  <c r="G18" i="2" s="1"/>
  <c r="H18" i="2" s="1"/>
  <c r="I18" i="2" s="1"/>
  <c r="J18" i="2" s="1"/>
  <c r="K18" i="2" s="1"/>
  <c r="L18" i="2" s="1"/>
  <c r="M18" i="2" s="1"/>
  <c r="N18" i="2" s="1"/>
  <c r="E12" i="2"/>
  <c r="F12" i="2" s="1"/>
  <c r="G12" i="2" s="1"/>
  <c r="H12" i="2" s="1"/>
  <c r="I12" i="2" s="1"/>
  <c r="J12" i="2" s="1"/>
  <c r="K12" i="2" s="1"/>
  <c r="L12" i="2" s="1"/>
  <c r="M12" i="2" s="1"/>
  <c r="N12" i="2" s="1"/>
  <c r="E11" i="2"/>
  <c r="F11" i="2" s="1"/>
  <c r="G11" i="2" s="1"/>
  <c r="H11" i="2" s="1"/>
  <c r="I11" i="2" s="1"/>
  <c r="J11" i="2" s="1"/>
  <c r="K11" i="2" s="1"/>
  <c r="L11" i="2" s="1"/>
  <c r="M11" i="2" s="1"/>
  <c r="N11" i="2" s="1"/>
  <c r="E10" i="2"/>
  <c r="F10" i="2" s="1"/>
  <c r="G10" i="2" s="1"/>
  <c r="H10" i="2" s="1"/>
  <c r="I10" i="2" s="1"/>
  <c r="J10" i="2" s="1"/>
  <c r="K10" i="2" s="1"/>
  <c r="L10" i="2" s="1"/>
  <c r="M10" i="2" s="1"/>
  <c r="N10" i="2" s="1"/>
  <c r="E9" i="2"/>
  <c r="F9" i="2" s="1"/>
  <c r="G9" i="2" s="1"/>
  <c r="H9" i="2" s="1"/>
  <c r="I9" i="2" s="1"/>
  <c r="F7" i="2"/>
  <c r="G7" i="2" s="1"/>
  <c r="H7" i="2" s="1"/>
  <c r="I7" i="2" s="1"/>
  <c r="J7" i="2" s="1"/>
  <c r="K7" i="2" s="1"/>
  <c r="L7" i="2" s="1"/>
  <c r="M7" i="2" s="1"/>
  <c r="N7" i="2" s="1"/>
  <c r="E7" i="2"/>
  <c r="E19" i="5"/>
  <c r="F19" i="5" s="1"/>
  <c r="G19" i="5" s="1"/>
  <c r="H19" i="5" s="1"/>
  <c r="I19" i="5" s="1"/>
  <c r="J19" i="5" s="1"/>
  <c r="K19" i="5" s="1"/>
  <c r="L19" i="5" s="1"/>
  <c r="M19" i="5" s="1"/>
  <c r="BB9" i="5"/>
  <c r="BA8" i="5"/>
  <c r="BC7" i="5" s="1"/>
  <c r="E7" i="5"/>
  <c r="H8" i="5"/>
  <c r="H7" i="5" s="1"/>
  <c r="G8" i="5"/>
  <c r="G7" i="5" s="1"/>
  <c r="F8" i="5"/>
  <c r="F7" i="5" s="1"/>
  <c r="D8" i="5"/>
  <c r="D7" i="5" s="1"/>
  <c r="C9" i="5"/>
  <c r="O4" i="8" s="1"/>
  <c r="O5" i="8" s="1"/>
  <c r="U60" i="1"/>
  <c r="I59" i="1"/>
  <c r="I56" i="1"/>
  <c r="R56" i="1"/>
  <c r="Q56" i="1"/>
  <c r="P56" i="1"/>
  <c r="O56" i="1"/>
  <c r="N56" i="1"/>
  <c r="M56" i="1"/>
  <c r="L56" i="1"/>
  <c r="K56" i="1"/>
  <c r="J56" i="1"/>
  <c r="D6" i="5" l="1"/>
  <c r="D9" i="5" s="1"/>
  <c r="BC6" i="5"/>
  <c r="BC8" i="5" s="1"/>
  <c r="F26" i="2"/>
  <c r="D13" i="5"/>
  <c r="E6" i="5"/>
  <c r="E9" i="5" s="1"/>
  <c r="J9" i="2"/>
  <c r="F31" i="2" l="1"/>
  <c r="G26" i="2"/>
  <c r="F6" i="5"/>
  <c r="F9" i="5" s="1"/>
  <c r="E13" i="5"/>
  <c r="K9" i="2"/>
  <c r="D31" i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C31" i="1"/>
  <c r="B31" i="1"/>
  <c r="D30" i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C30" i="1"/>
  <c r="B30" i="1"/>
  <c r="G24" i="1"/>
  <c r="O24" i="1" l="1"/>
  <c r="K24" i="1"/>
  <c r="R24" i="1"/>
  <c r="N24" i="1"/>
  <c r="J24" i="1"/>
  <c r="Q24" i="1"/>
  <c r="M24" i="1"/>
  <c r="I24" i="1"/>
  <c r="P24" i="1"/>
  <c r="L24" i="1"/>
  <c r="H26" i="2"/>
  <c r="G31" i="2"/>
  <c r="G6" i="5"/>
  <c r="G9" i="5" s="1"/>
  <c r="F13" i="5"/>
  <c r="L9" i="2"/>
  <c r="D14" i="7"/>
  <c r="D11" i="7"/>
  <c r="D13" i="7"/>
  <c r="C12" i="7"/>
  <c r="D12" i="7"/>
  <c r="B13" i="1"/>
  <c r="B17" i="1"/>
  <c r="E8" i="6"/>
  <c r="F5" i="6" s="1"/>
  <c r="D8" i="6"/>
  <c r="C8" i="6"/>
  <c r="AU14" i="5"/>
  <c r="AX5" i="5" s="1"/>
  <c r="E16" i="4"/>
  <c r="D16" i="4"/>
  <c r="C16" i="4"/>
  <c r="E15" i="4"/>
  <c r="D15" i="4"/>
  <c r="C15" i="4"/>
  <c r="E14" i="4"/>
  <c r="D14" i="4"/>
  <c r="C14" i="4"/>
  <c r="E13" i="4"/>
  <c r="D13" i="4"/>
  <c r="C13" i="4"/>
  <c r="E9" i="4"/>
  <c r="E27" i="4" s="1"/>
  <c r="D9" i="4"/>
  <c r="C9" i="4"/>
  <c r="E8" i="4"/>
  <c r="D8" i="4"/>
  <c r="C8" i="4"/>
  <c r="E4" i="4"/>
  <c r="D4" i="4"/>
  <c r="C4" i="4"/>
  <c r="D29" i="3"/>
  <c r="C29" i="3"/>
  <c r="B29" i="3"/>
  <c r="D28" i="3"/>
  <c r="C28" i="3"/>
  <c r="B28" i="3"/>
  <c r="D26" i="3"/>
  <c r="C26" i="3"/>
  <c r="B26" i="3"/>
  <c r="D15" i="3"/>
  <c r="E12" i="3" s="1"/>
  <c r="C15" i="3"/>
  <c r="B15" i="3"/>
  <c r="D5" i="3"/>
  <c r="C5" i="3"/>
  <c r="C7" i="3" s="1"/>
  <c r="B5" i="3"/>
  <c r="B7" i="3" s="1"/>
  <c r="D47" i="2"/>
  <c r="D40" i="2"/>
  <c r="D31" i="2"/>
  <c r="D20" i="2"/>
  <c r="D13" i="2"/>
  <c r="C18" i="1"/>
  <c r="C13" i="1"/>
  <c r="C6" i="1" s="1"/>
  <c r="D17" i="1"/>
  <c r="G17" i="1" s="1"/>
  <c r="D18" i="1"/>
  <c r="D13" i="1"/>
  <c r="D6" i="1" s="1"/>
  <c r="B29" i="1" l="1"/>
  <c r="C5" i="4"/>
  <c r="I26" i="2"/>
  <c r="H31" i="2"/>
  <c r="D23" i="2"/>
  <c r="D21" i="3"/>
  <c r="E23" i="3"/>
  <c r="H6" i="5"/>
  <c r="H9" i="5" s="1"/>
  <c r="G13" i="5"/>
  <c r="D18" i="3"/>
  <c r="D7" i="3"/>
  <c r="E7" i="3" s="1"/>
  <c r="E37" i="2"/>
  <c r="E39" i="2"/>
  <c r="M9" i="2"/>
  <c r="C29" i="1"/>
  <c r="D5" i="4"/>
  <c r="D26" i="4" s="1"/>
  <c r="D29" i="1"/>
  <c r="E5" i="4"/>
  <c r="E26" i="4" s="1"/>
  <c r="F26" i="4" s="1"/>
  <c r="C18" i="4"/>
  <c r="C29" i="4"/>
  <c r="C27" i="4"/>
  <c r="D43" i="2"/>
  <c r="C26" i="4"/>
  <c r="D27" i="4"/>
  <c r="E18" i="4"/>
  <c r="AX10" i="5"/>
  <c r="AX13" i="5"/>
  <c r="AX6" i="5"/>
  <c r="AX9" i="5"/>
  <c r="AX8" i="5"/>
  <c r="AX12" i="5"/>
  <c r="AX7" i="5"/>
  <c r="AX11" i="5"/>
  <c r="D18" i="4"/>
  <c r="D49" i="2"/>
  <c r="C11" i="4"/>
  <c r="C20" i="4" s="1"/>
  <c r="J26" i="2" l="1"/>
  <c r="I31" i="2"/>
  <c r="G26" i="4"/>
  <c r="F7" i="3"/>
  <c r="F37" i="2"/>
  <c r="I6" i="5"/>
  <c r="I9" i="5" s="1"/>
  <c r="H13" i="5"/>
  <c r="F27" i="4"/>
  <c r="E38" i="2"/>
  <c r="F39" i="2"/>
  <c r="N9" i="2"/>
  <c r="AX15" i="5"/>
  <c r="D14" i="5" s="1"/>
  <c r="E29" i="4"/>
  <c r="F29" i="4" s="1"/>
  <c r="D29" i="4"/>
  <c r="E11" i="4"/>
  <c r="D11" i="4"/>
  <c r="E14" i="5" l="1"/>
  <c r="O7" i="8"/>
  <c r="O9" i="8" s="1"/>
  <c r="D15" i="5"/>
  <c r="K26" i="2"/>
  <c r="J31" i="2"/>
  <c r="J6" i="5"/>
  <c r="J9" i="5" s="1"/>
  <c r="I13" i="5"/>
  <c r="G37" i="2"/>
  <c r="G7" i="3"/>
  <c r="H26" i="4"/>
  <c r="G29" i="4"/>
  <c r="G39" i="2"/>
  <c r="F38" i="2"/>
  <c r="G27" i="4"/>
  <c r="E20" i="4"/>
  <c r="D20" i="4"/>
  <c r="G14" i="8" l="1"/>
  <c r="H14" i="8"/>
  <c r="E14" i="8"/>
  <c r="J14" i="8"/>
  <c r="L14" i="8"/>
  <c r="I14" i="8"/>
  <c r="F14" i="8"/>
  <c r="D14" i="8"/>
  <c r="C14" i="8"/>
  <c r="K14" i="8"/>
  <c r="L26" i="2"/>
  <c r="K31" i="2"/>
  <c r="F14" i="5"/>
  <c r="E15" i="5"/>
  <c r="K6" i="5"/>
  <c r="K9" i="5" s="1"/>
  <c r="J13" i="5"/>
  <c r="H27" i="4"/>
  <c r="G38" i="2"/>
  <c r="H39" i="2"/>
  <c r="H29" i="4"/>
  <c r="I26" i="4"/>
  <c r="H7" i="3"/>
  <c r="H37" i="2"/>
  <c r="G20" i="1"/>
  <c r="G18" i="1"/>
  <c r="G16" i="1"/>
  <c r="G10" i="1"/>
  <c r="G5" i="1"/>
  <c r="G14" i="5" l="1"/>
  <c r="F15" i="5"/>
  <c r="M26" i="2"/>
  <c r="L31" i="2"/>
  <c r="I37" i="2"/>
  <c r="I7" i="3"/>
  <c r="J26" i="4"/>
  <c r="I29" i="4"/>
  <c r="I39" i="2"/>
  <c r="H38" i="2"/>
  <c r="I27" i="4"/>
  <c r="L6" i="5"/>
  <c r="L9" i="5" s="1"/>
  <c r="K13" i="5"/>
  <c r="G9" i="1"/>
  <c r="N26" i="2" l="1"/>
  <c r="N31" i="2" s="1"/>
  <c r="M31" i="2"/>
  <c r="H14" i="5"/>
  <c r="G15" i="5"/>
  <c r="M6" i="5"/>
  <c r="M9" i="5" s="1"/>
  <c r="L13" i="5"/>
  <c r="J27" i="4"/>
  <c r="I38" i="2"/>
  <c r="J39" i="2"/>
  <c r="J29" i="4"/>
  <c r="K26" i="4"/>
  <c r="J7" i="3"/>
  <c r="J37" i="2"/>
  <c r="D2" i="8"/>
  <c r="E2" i="8" s="1"/>
  <c r="F2" i="8" s="1"/>
  <c r="G2" i="8" s="1"/>
  <c r="H2" i="8" s="1"/>
  <c r="I2" i="8" s="1"/>
  <c r="J2" i="8" s="1"/>
  <c r="K2" i="8" s="1"/>
  <c r="L2" i="8" s="1"/>
  <c r="I14" i="5" l="1"/>
  <c r="H15" i="5"/>
  <c r="M13" i="5"/>
  <c r="K37" i="2"/>
  <c r="K7" i="3"/>
  <c r="L26" i="4"/>
  <c r="K29" i="4"/>
  <c r="K39" i="2"/>
  <c r="J38" i="2"/>
  <c r="K27" i="4"/>
  <c r="K21" i="7"/>
  <c r="L21" i="7" s="1"/>
  <c r="M21" i="7" s="1"/>
  <c r="N21" i="7" s="1"/>
  <c r="G21" i="7"/>
  <c r="H21" i="7" s="1"/>
  <c r="I21" i="7" s="1"/>
  <c r="B18" i="7"/>
  <c r="B24" i="7" s="1"/>
  <c r="E8" i="7"/>
  <c r="E7" i="7"/>
  <c r="E6" i="7"/>
  <c r="E5" i="7"/>
  <c r="F12" i="7"/>
  <c r="G12" i="7" s="1"/>
  <c r="H12" i="7" s="1"/>
  <c r="I12" i="7" s="1"/>
  <c r="J12" i="7" s="1"/>
  <c r="K12" i="7" s="1"/>
  <c r="L12" i="7" s="1"/>
  <c r="M12" i="7" s="1"/>
  <c r="N12" i="7" s="1"/>
  <c r="F14" i="7"/>
  <c r="G14" i="7" s="1"/>
  <c r="H14" i="7" s="1"/>
  <c r="I14" i="7" s="1"/>
  <c r="J14" i="7" s="1"/>
  <c r="K14" i="7" s="1"/>
  <c r="L14" i="7" s="1"/>
  <c r="M14" i="7" s="1"/>
  <c r="N14" i="7" s="1"/>
  <c r="F11" i="7"/>
  <c r="G11" i="7" s="1"/>
  <c r="H11" i="7" s="1"/>
  <c r="I11" i="7" s="1"/>
  <c r="J11" i="7" s="1"/>
  <c r="K11" i="7" s="1"/>
  <c r="L11" i="7" s="1"/>
  <c r="M11" i="7" s="1"/>
  <c r="N11" i="7" s="1"/>
  <c r="F13" i="7"/>
  <c r="G13" i="7" s="1"/>
  <c r="H13" i="7" s="1"/>
  <c r="J13" i="7" s="1"/>
  <c r="K13" i="7" s="1"/>
  <c r="L13" i="7" s="1"/>
  <c r="M13" i="7" s="1"/>
  <c r="N13" i="7" s="1"/>
  <c r="C14" i="7"/>
  <c r="C13" i="7"/>
  <c r="C11" i="7"/>
  <c r="B9" i="7"/>
  <c r="B20" i="7" s="1"/>
  <c r="C9" i="7"/>
  <c r="C20" i="7" s="1"/>
  <c r="D9" i="7"/>
  <c r="D20" i="7" s="1"/>
  <c r="E20" i="7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N18" i="7" s="1"/>
  <c r="N24" i="7" s="1"/>
  <c r="J14" i="5" l="1"/>
  <c r="I15" i="5"/>
  <c r="L27" i="4"/>
  <c r="K38" i="2"/>
  <c r="L39" i="2"/>
  <c r="L29" i="4"/>
  <c r="M26" i="4"/>
  <c r="L7" i="3"/>
  <c r="L37" i="2"/>
  <c r="F7" i="7"/>
  <c r="G7" i="7" s="1"/>
  <c r="H7" i="7" s="1"/>
  <c r="I7" i="7" s="1"/>
  <c r="J7" i="7" s="1"/>
  <c r="K7" i="7" s="1"/>
  <c r="L7" i="7" s="1"/>
  <c r="M7" i="7" s="1"/>
  <c r="N7" i="7" s="1"/>
  <c r="E9" i="7"/>
  <c r="E26" i="7" s="1"/>
  <c r="I5" i="1" s="1"/>
  <c r="K18" i="7"/>
  <c r="K24" i="7" s="1"/>
  <c r="F6" i="7"/>
  <c r="G6" i="7" s="1"/>
  <c r="H6" i="7" s="1"/>
  <c r="I6" i="7" s="1"/>
  <c r="J6" i="7" s="1"/>
  <c r="K6" i="7" s="1"/>
  <c r="L6" i="7" s="1"/>
  <c r="M6" i="7" s="1"/>
  <c r="N6" i="7" s="1"/>
  <c r="F18" i="7"/>
  <c r="F24" i="7" s="1"/>
  <c r="G18" i="7"/>
  <c r="G24" i="7" s="1"/>
  <c r="F8" i="7"/>
  <c r="J18" i="7"/>
  <c r="J24" i="7" s="1"/>
  <c r="F20" i="7"/>
  <c r="G20" i="7" s="1"/>
  <c r="G8" i="7"/>
  <c r="H8" i="7" s="1"/>
  <c r="I8" i="7" s="1"/>
  <c r="J8" i="7" s="1"/>
  <c r="K8" i="7" s="1"/>
  <c r="L8" i="7" s="1"/>
  <c r="M8" i="7" s="1"/>
  <c r="N8" i="7" s="1"/>
  <c r="C21" i="7"/>
  <c r="C18" i="7"/>
  <c r="H18" i="7"/>
  <c r="H24" i="7" s="1"/>
  <c r="L18" i="7"/>
  <c r="L24" i="7" s="1"/>
  <c r="D21" i="7"/>
  <c r="F5" i="7"/>
  <c r="E18" i="7"/>
  <c r="E24" i="7" s="1"/>
  <c r="I18" i="7"/>
  <c r="I24" i="7" s="1"/>
  <c r="M18" i="7"/>
  <c r="M24" i="7" s="1"/>
  <c r="I6" i="1" l="1"/>
  <c r="F5" i="4" s="1"/>
  <c r="F4" i="4"/>
  <c r="F9" i="4" s="1"/>
  <c r="E17" i="2" s="1"/>
  <c r="E5" i="3"/>
  <c r="E6" i="3" s="1"/>
  <c r="E13" i="3" s="1"/>
  <c r="I10" i="1"/>
  <c r="I9" i="1"/>
  <c r="K14" i="5"/>
  <c r="J15" i="5"/>
  <c r="N37" i="2"/>
  <c r="M37" i="2"/>
  <c r="M7" i="3"/>
  <c r="N26" i="4"/>
  <c r="M29" i="4"/>
  <c r="N39" i="2"/>
  <c r="M39" i="2"/>
  <c r="L38" i="2"/>
  <c r="M27" i="4"/>
  <c r="G5" i="7"/>
  <c r="F9" i="7"/>
  <c r="F26" i="7" s="1"/>
  <c r="J5" i="1" s="1"/>
  <c r="D18" i="7"/>
  <c r="D24" i="7" s="1"/>
  <c r="C24" i="7"/>
  <c r="H20" i="7"/>
  <c r="E11" i="6"/>
  <c r="D11" i="6"/>
  <c r="I7" i="1" l="1"/>
  <c r="I8" i="1" s="1"/>
  <c r="I11" i="1"/>
  <c r="J9" i="1"/>
  <c r="F5" i="3"/>
  <c r="F6" i="3" s="1"/>
  <c r="F13" i="3" s="1"/>
  <c r="J10" i="1"/>
  <c r="J6" i="1"/>
  <c r="G5" i="4" s="1"/>
  <c r="G4" i="4"/>
  <c r="G9" i="4" s="1"/>
  <c r="F17" i="2" s="1"/>
  <c r="F8" i="4"/>
  <c r="F13" i="4"/>
  <c r="L14" i="5"/>
  <c r="K15" i="5"/>
  <c r="N27" i="4"/>
  <c r="N38" i="2"/>
  <c r="M38" i="2"/>
  <c r="N29" i="4"/>
  <c r="O26" i="4"/>
  <c r="N7" i="3"/>
  <c r="H5" i="7"/>
  <c r="G9" i="7"/>
  <c r="G26" i="7" s="1"/>
  <c r="K5" i="1" s="1"/>
  <c r="I20" i="7"/>
  <c r="J7" i="1" l="1"/>
  <c r="J8" i="1" s="1"/>
  <c r="G8" i="4"/>
  <c r="G13" i="4"/>
  <c r="G5" i="3"/>
  <c r="G6" i="3" s="1"/>
  <c r="G13" i="3" s="1"/>
  <c r="K10" i="1"/>
  <c r="K6" i="1"/>
  <c r="H5" i="4" s="1"/>
  <c r="K9" i="1"/>
  <c r="H4" i="4"/>
  <c r="H9" i="4" s="1"/>
  <c r="G17" i="2" s="1"/>
  <c r="E34" i="2"/>
  <c r="E40" i="2" s="1"/>
  <c r="E43" i="2" s="1"/>
  <c r="F18" i="4"/>
  <c r="I12" i="1"/>
  <c r="E16" i="2"/>
  <c r="F11" i="4"/>
  <c r="M14" i="5"/>
  <c r="M15" i="5" s="1"/>
  <c r="L15" i="5"/>
  <c r="O29" i="4"/>
  <c r="O27" i="4"/>
  <c r="I5" i="7"/>
  <c r="H9" i="7"/>
  <c r="H26" i="7" s="1"/>
  <c r="L5" i="1" s="1"/>
  <c r="J20" i="7"/>
  <c r="J11" i="1" l="1"/>
  <c r="F34" i="2"/>
  <c r="F40" i="2" s="1"/>
  <c r="F43" i="2" s="1"/>
  <c r="G18" i="4"/>
  <c r="L9" i="1"/>
  <c r="L6" i="1"/>
  <c r="L10" i="1"/>
  <c r="I4" i="4"/>
  <c r="I9" i="4" s="1"/>
  <c r="H17" i="2" s="1"/>
  <c r="H5" i="3"/>
  <c r="H6" i="3" s="1"/>
  <c r="H13" i="3" s="1"/>
  <c r="F16" i="2"/>
  <c r="G11" i="4"/>
  <c r="K7" i="1"/>
  <c r="H8" i="4"/>
  <c r="H13" i="4"/>
  <c r="F20" i="4"/>
  <c r="F21" i="4" s="1"/>
  <c r="I40" i="1" s="1"/>
  <c r="C11" i="8" s="1"/>
  <c r="J12" i="1"/>
  <c r="J5" i="7"/>
  <c r="I9" i="7"/>
  <c r="I26" i="7" s="1"/>
  <c r="M5" i="1" s="1"/>
  <c r="K20" i="7"/>
  <c r="G16" i="2" l="1"/>
  <c r="H11" i="4"/>
  <c r="K8" i="1"/>
  <c r="K11" i="1"/>
  <c r="L7" i="1"/>
  <c r="I5" i="4"/>
  <c r="M10" i="1"/>
  <c r="M9" i="1"/>
  <c r="I5" i="3"/>
  <c r="I6" i="3" s="1"/>
  <c r="I13" i="3" s="1"/>
  <c r="M6" i="1"/>
  <c r="J5" i="4" s="1"/>
  <c r="J4" i="4"/>
  <c r="J9" i="4" s="1"/>
  <c r="I17" i="2" s="1"/>
  <c r="G34" i="2"/>
  <c r="G40" i="2" s="1"/>
  <c r="G43" i="2" s="1"/>
  <c r="H18" i="4"/>
  <c r="G20" i="4"/>
  <c r="G21" i="4" s="1"/>
  <c r="J40" i="1" s="1"/>
  <c r="D11" i="8" s="1"/>
  <c r="K5" i="7"/>
  <c r="J9" i="7"/>
  <c r="J26" i="7" s="1"/>
  <c r="N5" i="1" s="1"/>
  <c r="L20" i="7"/>
  <c r="L8" i="1" l="1"/>
  <c r="L11" i="1"/>
  <c r="I8" i="4"/>
  <c r="I13" i="4"/>
  <c r="M7" i="1"/>
  <c r="K12" i="1"/>
  <c r="N6" i="1"/>
  <c r="K5" i="4" s="1"/>
  <c r="N9" i="1"/>
  <c r="J5" i="3"/>
  <c r="J6" i="3" s="1"/>
  <c r="J13" i="3" s="1"/>
  <c r="K4" i="4"/>
  <c r="K9" i="4" s="1"/>
  <c r="J17" i="2" s="1"/>
  <c r="N10" i="1"/>
  <c r="J8" i="4"/>
  <c r="J13" i="4"/>
  <c r="H20" i="4"/>
  <c r="H21" i="4" s="1"/>
  <c r="K40" i="1" s="1"/>
  <c r="E11" i="8" s="1"/>
  <c r="L5" i="7"/>
  <c r="K9" i="7"/>
  <c r="K26" i="7" s="1"/>
  <c r="O5" i="1" s="1"/>
  <c r="M20" i="7"/>
  <c r="L4" i="4" l="1"/>
  <c r="L9" i="4" s="1"/>
  <c r="K17" i="2" s="1"/>
  <c r="O9" i="1"/>
  <c r="O10" i="1"/>
  <c r="K5" i="3"/>
  <c r="K6" i="3" s="1"/>
  <c r="K13" i="3" s="1"/>
  <c r="O6" i="1"/>
  <c r="L5" i="4" s="1"/>
  <c r="O7" i="1"/>
  <c r="N7" i="1"/>
  <c r="M8" i="1"/>
  <c r="M11" i="1"/>
  <c r="K8" i="4"/>
  <c r="K13" i="4"/>
  <c r="I34" i="2"/>
  <c r="I40" i="2" s="1"/>
  <c r="I43" i="2" s="1"/>
  <c r="J18" i="4"/>
  <c r="I16" i="2"/>
  <c r="J11" i="4"/>
  <c r="J20" i="4" s="1"/>
  <c r="J21" i="4" s="1"/>
  <c r="M40" i="1" s="1"/>
  <c r="G11" i="8" s="1"/>
  <c r="H34" i="2"/>
  <c r="H40" i="2" s="1"/>
  <c r="H43" i="2" s="1"/>
  <c r="I18" i="4"/>
  <c r="H16" i="2"/>
  <c r="I11" i="4"/>
  <c r="I20" i="4" s="1"/>
  <c r="I21" i="4" s="1"/>
  <c r="L40" i="1" s="1"/>
  <c r="F11" i="8" s="1"/>
  <c r="L12" i="1"/>
  <c r="M5" i="7"/>
  <c r="L9" i="7"/>
  <c r="L26" i="7" s="1"/>
  <c r="P5" i="1" s="1"/>
  <c r="N20" i="7"/>
  <c r="C47" i="2"/>
  <c r="C40" i="2"/>
  <c r="C31" i="2"/>
  <c r="C20" i="2"/>
  <c r="C13" i="2"/>
  <c r="N8" i="1" l="1"/>
  <c r="N11" i="1"/>
  <c r="O8" i="1"/>
  <c r="O11" i="1"/>
  <c r="L5" i="3"/>
  <c r="L6" i="3" s="1"/>
  <c r="L13" i="3" s="1"/>
  <c r="P6" i="1"/>
  <c r="M5" i="4" s="1"/>
  <c r="P9" i="1"/>
  <c r="P10" i="1"/>
  <c r="M4" i="4"/>
  <c r="M9" i="4" s="1"/>
  <c r="L17" i="2" s="1"/>
  <c r="J34" i="2"/>
  <c r="J40" i="2" s="1"/>
  <c r="J43" i="2" s="1"/>
  <c r="K18" i="4"/>
  <c r="L8" i="4"/>
  <c r="L13" i="4"/>
  <c r="J16" i="2"/>
  <c r="K11" i="4"/>
  <c r="M12" i="1"/>
  <c r="G13" i="1"/>
  <c r="N5" i="7"/>
  <c r="N9" i="7" s="1"/>
  <c r="N26" i="7" s="1"/>
  <c r="R5" i="1" s="1"/>
  <c r="M9" i="7"/>
  <c r="M26" i="7" s="1"/>
  <c r="Q5" i="1" s="1"/>
  <c r="D10" i="3"/>
  <c r="C23" i="2"/>
  <c r="D7" i="1"/>
  <c r="D11" i="1" s="1"/>
  <c r="D14" i="1" s="1"/>
  <c r="D19" i="1" s="1"/>
  <c r="D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C43" i="2"/>
  <c r="L18" i="4" l="1"/>
  <c r="K34" i="2"/>
  <c r="K40" i="2" s="1"/>
  <c r="K43" i="2" s="1"/>
  <c r="R6" i="1"/>
  <c r="O5" i="4" s="1"/>
  <c r="R9" i="1"/>
  <c r="R10" i="1"/>
  <c r="N5" i="3"/>
  <c r="N6" i="3" s="1"/>
  <c r="N13" i="3" s="1"/>
  <c r="O4" i="4"/>
  <c r="O9" i="4" s="1"/>
  <c r="N17" i="2" s="1"/>
  <c r="R7" i="1"/>
  <c r="N12" i="1"/>
  <c r="M8" i="4"/>
  <c r="M13" i="4"/>
  <c r="K16" i="2"/>
  <c r="L11" i="4"/>
  <c r="L20" i="4" s="1"/>
  <c r="L21" i="4" s="1"/>
  <c r="O40" i="1" s="1"/>
  <c r="I11" i="8" s="1"/>
  <c r="P7" i="1"/>
  <c r="O12" i="1"/>
  <c r="M5" i="3"/>
  <c r="M6" i="3" s="1"/>
  <c r="M13" i="3" s="1"/>
  <c r="Q10" i="1"/>
  <c r="Q9" i="1"/>
  <c r="Q6" i="1"/>
  <c r="N5" i="4" s="1"/>
  <c r="N4" i="4"/>
  <c r="N9" i="4" s="1"/>
  <c r="M17" i="2" s="1"/>
  <c r="Q7" i="1"/>
  <c r="K20" i="4"/>
  <c r="K21" i="4" s="1"/>
  <c r="N40" i="1" s="1"/>
  <c r="H11" i="8" s="1"/>
  <c r="C49" i="2"/>
  <c r="G6" i="1"/>
  <c r="D12" i="1"/>
  <c r="D8" i="1"/>
  <c r="D15" i="1"/>
  <c r="R8" i="1" l="1"/>
  <c r="R11" i="1"/>
  <c r="P8" i="1"/>
  <c r="P11" i="1"/>
  <c r="L16" i="2"/>
  <c r="M11" i="4"/>
  <c r="O8" i="4"/>
  <c r="O13" i="4"/>
  <c r="Q8" i="1"/>
  <c r="Q11" i="1"/>
  <c r="N8" i="4"/>
  <c r="N13" i="4"/>
  <c r="L34" i="2"/>
  <c r="L40" i="2" s="1"/>
  <c r="L43" i="2" s="1"/>
  <c r="M18" i="4"/>
  <c r="G7" i="1"/>
  <c r="D21" i="1"/>
  <c r="M34" i="2" l="1"/>
  <c r="M40" i="2" s="1"/>
  <c r="M43" i="2" s="1"/>
  <c r="N18" i="4"/>
  <c r="M16" i="2"/>
  <c r="N11" i="4"/>
  <c r="N20" i="4" s="1"/>
  <c r="Q12" i="1"/>
  <c r="O18" i="4"/>
  <c r="N34" i="2"/>
  <c r="N40" i="2" s="1"/>
  <c r="N43" i="2" s="1"/>
  <c r="P12" i="1"/>
  <c r="D23" i="8"/>
  <c r="D24" i="8" s="1"/>
  <c r="R12" i="1"/>
  <c r="N16" i="2"/>
  <c r="O11" i="4"/>
  <c r="O20" i="4" s="1"/>
  <c r="O21" i="4" s="1"/>
  <c r="R40" i="1" s="1"/>
  <c r="L11" i="8" s="1"/>
  <c r="M20" i="4"/>
  <c r="M21" i="4" s="1"/>
  <c r="P40" i="1" s="1"/>
  <c r="J11" i="8" s="1"/>
  <c r="D26" i="1"/>
  <c r="D22" i="1"/>
  <c r="G11" i="1"/>
  <c r="G8" i="1"/>
  <c r="E13" i="6"/>
  <c r="E14" i="6" s="1"/>
  <c r="C21" i="3"/>
  <c r="B21" i="3"/>
  <c r="A25" i="3"/>
  <c r="A24" i="3"/>
  <c r="N21" i="4" l="1"/>
  <c r="Q40" i="1" s="1"/>
  <c r="K11" i="8" s="1"/>
  <c r="E21" i="3"/>
  <c r="B7" i="1"/>
  <c r="G12" i="1"/>
  <c r="G14" i="1"/>
  <c r="G19" i="1" s="1"/>
  <c r="G21" i="1" s="1"/>
  <c r="G22" i="1" s="1"/>
  <c r="C7" i="1"/>
  <c r="F21" i="3" l="1"/>
  <c r="G15" i="1"/>
  <c r="C11" i="1"/>
  <c r="C8" i="1"/>
  <c r="G21" i="3" l="1"/>
  <c r="H21" i="3" s="1"/>
  <c r="C14" i="1"/>
  <c r="C19" i="1" s="1"/>
  <c r="C32" i="1" s="1"/>
  <c r="C12" i="1"/>
  <c r="I21" i="3" l="1"/>
  <c r="J21" i="3"/>
  <c r="G26" i="1"/>
  <c r="C21" i="1"/>
  <c r="C15" i="1"/>
  <c r="K21" i="3" l="1"/>
  <c r="L21" i="3" s="1"/>
  <c r="D13" i="6"/>
  <c r="D14" i="6" s="1"/>
  <c r="M21" i="3" l="1"/>
  <c r="C26" i="1"/>
  <c r="C22" i="1"/>
  <c r="N21" i="3" l="1"/>
  <c r="A16" i="4"/>
  <c r="A15" i="4"/>
  <c r="A14" i="4"/>
  <c r="A13" i="4"/>
  <c r="A9" i="4"/>
  <c r="A8" i="4"/>
  <c r="C10" i="3"/>
  <c r="B10" i="3"/>
  <c r="C18" i="3"/>
  <c r="B18" i="3"/>
  <c r="E18" i="3" s="1"/>
  <c r="B47" i="2"/>
  <c r="B40" i="2"/>
  <c r="B31" i="2"/>
  <c r="B20" i="2"/>
  <c r="B13" i="2"/>
  <c r="A36" i="2"/>
  <c r="A2" i="2"/>
  <c r="E10" i="3" l="1"/>
  <c r="E17" i="3"/>
  <c r="F18" i="3"/>
  <c r="F10" i="3"/>
  <c r="G10" i="3" s="1"/>
  <c r="E9" i="3"/>
  <c r="E14" i="3" s="1"/>
  <c r="E15" i="3" s="1"/>
  <c r="B23" i="2"/>
  <c r="B43" i="2"/>
  <c r="A2" i="3"/>
  <c r="C3" i="1"/>
  <c r="E3" i="1" s="1"/>
  <c r="E6" i="2" l="1"/>
  <c r="F12" i="3"/>
  <c r="G18" i="3"/>
  <c r="F17" i="3"/>
  <c r="H10" i="3"/>
  <c r="I10" i="3"/>
  <c r="J10" i="3" s="1"/>
  <c r="F9" i="3"/>
  <c r="F14" i="3" s="1"/>
  <c r="E24" i="3"/>
  <c r="E28" i="3"/>
  <c r="I45" i="1" s="1"/>
  <c r="E20" i="3"/>
  <c r="D3" i="1"/>
  <c r="B49" i="2"/>
  <c r="A2" i="4"/>
  <c r="C3" i="2"/>
  <c r="B3" i="3"/>
  <c r="B8" i="1"/>
  <c r="F15" i="3" l="1"/>
  <c r="G12" i="3" s="1"/>
  <c r="E29" i="3"/>
  <c r="E25" i="3"/>
  <c r="E26" i="3" s="1"/>
  <c r="F20" i="3" s="1"/>
  <c r="F24" i="3"/>
  <c r="F28" i="3"/>
  <c r="J45" i="1" s="1"/>
  <c r="C10" i="8"/>
  <c r="I47" i="1"/>
  <c r="K10" i="3"/>
  <c r="H18" i="3"/>
  <c r="G17" i="3"/>
  <c r="F3" i="1"/>
  <c r="I3" i="1"/>
  <c r="I36" i="1" s="1"/>
  <c r="A2" i="5"/>
  <c r="J3" i="1"/>
  <c r="B11" i="1"/>
  <c r="B14" i="1" s="1"/>
  <c r="D3" i="2"/>
  <c r="C3" i="3"/>
  <c r="C3" i="4"/>
  <c r="B19" i="1" l="1"/>
  <c r="B21" i="1" s="1"/>
  <c r="B22" i="1" s="1"/>
  <c r="G9" i="3"/>
  <c r="G14" i="3" s="1"/>
  <c r="G15" i="3" s="1"/>
  <c r="G6" i="2" s="1"/>
  <c r="F6" i="2"/>
  <c r="F29" i="3"/>
  <c r="F25" i="3"/>
  <c r="G24" i="3"/>
  <c r="G28" i="3"/>
  <c r="K45" i="1" s="1"/>
  <c r="C9" i="8"/>
  <c r="I13" i="1"/>
  <c r="L10" i="3"/>
  <c r="F23" i="3"/>
  <c r="E8" i="2"/>
  <c r="E13" i="2" s="1"/>
  <c r="I18" i="3"/>
  <c r="H17" i="3"/>
  <c r="D10" i="8"/>
  <c r="J47" i="1"/>
  <c r="B15" i="1"/>
  <c r="B12" i="1"/>
  <c r="K3" i="1"/>
  <c r="J36" i="1"/>
  <c r="D3" i="4"/>
  <c r="C3" i="6"/>
  <c r="E3" i="2"/>
  <c r="D3" i="3"/>
  <c r="B32" i="1" l="1"/>
  <c r="H9" i="3"/>
  <c r="H14" i="3" s="1"/>
  <c r="H12" i="3"/>
  <c r="J18" i="3"/>
  <c r="I17" i="3"/>
  <c r="I39" i="1"/>
  <c r="I14" i="1"/>
  <c r="J13" i="1"/>
  <c r="D9" i="8"/>
  <c r="H24" i="3"/>
  <c r="H28" i="3"/>
  <c r="L45" i="1" s="1"/>
  <c r="K47" i="1"/>
  <c r="E10" i="8"/>
  <c r="M10" i="3"/>
  <c r="F26" i="3"/>
  <c r="C13" i="6"/>
  <c r="C14" i="6" s="1"/>
  <c r="L3" i="1"/>
  <c r="K36" i="1"/>
  <c r="E3" i="4"/>
  <c r="F3" i="2"/>
  <c r="E3" i="3"/>
  <c r="D3" i="6"/>
  <c r="H15" i="3" l="1"/>
  <c r="I12" i="3" s="1"/>
  <c r="F10" i="8"/>
  <c r="L47" i="1"/>
  <c r="C5" i="8"/>
  <c r="C6" i="8" s="1"/>
  <c r="C7" i="8" s="1"/>
  <c r="C13" i="8" s="1"/>
  <c r="C15" i="8" s="1"/>
  <c r="I15" i="1"/>
  <c r="I24" i="3"/>
  <c r="I28" i="3"/>
  <c r="M45" i="1" s="1"/>
  <c r="F8" i="2"/>
  <c r="F13" i="2" s="1"/>
  <c r="G23" i="3"/>
  <c r="G20" i="3"/>
  <c r="J14" i="1"/>
  <c r="J39" i="1"/>
  <c r="K18" i="3"/>
  <c r="J17" i="3"/>
  <c r="N10" i="3"/>
  <c r="B26" i="1"/>
  <c r="M3" i="1"/>
  <c r="L36" i="1"/>
  <c r="G3" i="2"/>
  <c r="F3" i="3"/>
  <c r="C3" i="5"/>
  <c r="E3" i="6"/>
  <c r="F3" i="4"/>
  <c r="H6" i="2" l="1"/>
  <c r="I9" i="3"/>
  <c r="I14" i="3" s="1"/>
  <c r="I15" i="3" s="1"/>
  <c r="J24" i="3"/>
  <c r="J28" i="3"/>
  <c r="N45" i="1" s="1"/>
  <c r="G10" i="8"/>
  <c r="M47" i="1"/>
  <c r="L18" i="3"/>
  <c r="K17" i="3"/>
  <c r="D5" i="8"/>
  <c r="D6" i="8" s="1"/>
  <c r="D7" i="8" s="1"/>
  <c r="D13" i="8" s="1"/>
  <c r="D15" i="8" s="1"/>
  <c r="J15" i="1"/>
  <c r="G25" i="3"/>
  <c r="G26" i="3" s="1"/>
  <c r="G29" i="3"/>
  <c r="M36" i="1"/>
  <c r="N3" i="1"/>
  <c r="G3" i="4"/>
  <c r="F3" i="6"/>
  <c r="D3" i="5"/>
  <c r="H3" i="2"/>
  <c r="G3" i="3"/>
  <c r="H23" i="3" l="1"/>
  <c r="G8" i="2"/>
  <c r="G13" i="2" s="1"/>
  <c r="H20" i="3"/>
  <c r="M18" i="3"/>
  <c r="L17" i="3"/>
  <c r="K13" i="1"/>
  <c r="E9" i="8"/>
  <c r="I6" i="2"/>
  <c r="J12" i="3"/>
  <c r="J9" i="3"/>
  <c r="J14" i="3" s="1"/>
  <c r="K24" i="3"/>
  <c r="K28" i="3"/>
  <c r="O45" i="1" s="1"/>
  <c r="H10" i="8"/>
  <c r="N47" i="1"/>
  <c r="N36" i="1"/>
  <c r="O3" i="1"/>
  <c r="H3" i="4"/>
  <c r="I3" i="2"/>
  <c r="H3" i="3"/>
  <c r="E3" i="5"/>
  <c r="G3" i="6"/>
  <c r="K14" i="1" l="1"/>
  <c r="K39" i="1"/>
  <c r="L24" i="3"/>
  <c r="L28" i="3"/>
  <c r="P45" i="1" s="1"/>
  <c r="H29" i="3"/>
  <c r="H25" i="3"/>
  <c r="H26" i="3" s="1"/>
  <c r="J15" i="3"/>
  <c r="I10" i="8"/>
  <c r="O47" i="1"/>
  <c r="N18" i="3"/>
  <c r="N17" i="3" s="1"/>
  <c r="M17" i="3"/>
  <c r="O36" i="1"/>
  <c r="P3" i="1"/>
  <c r="I3" i="4"/>
  <c r="I3" i="3"/>
  <c r="J3" i="2"/>
  <c r="F3" i="5"/>
  <c r="H3" i="6"/>
  <c r="M24" i="3" l="1"/>
  <c r="M28" i="3"/>
  <c r="Q45" i="1" s="1"/>
  <c r="K9" i="3"/>
  <c r="K14" i="3" s="1"/>
  <c r="K12" i="3"/>
  <c r="J6" i="2"/>
  <c r="F9" i="8"/>
  <c r="L13" i="1"/>
  <c r="N24" i="3"/>
  <c r="N28" i="3"/>
  <c r="R45" i="1" s="1"/>
  <c r="I23" i="3"/>
  <c r="H8" i="2"/>
  <c r="H13" i="2" s="1"/>
  <c r="I20" i="3"/>
  <c r="E5" i="8"/>
  <c r="E6" i="8" s="1"/>
  <c r="E7" i="8" s="1"/>
  <c r="E13" i="8" s="1"/>
  <c r="E15" i="8" s="1"/>
  <c r="K15" i="1"/>
  <c r="J10" i="8"/>
  <c r="P47" i="1"/>
  <c r="P36" i="1"/>
  <c r="Q3" i="1"/>
  <c r="K3" i="2"/>
  <c r="J3" i="3"/>
  <c r="G3" i="5"/>
  <c r="I3" i="6"/>
  <c r="J3" i="4"/>
  <c r="L10" i="8" l="1"/>
  <c r="R47" i="1"/>
  <c r="L39" i="1"/>
  <c r="L14" i="1"/>
  <c r="K15" i="3"/>
  <c r="I25" i="3"/>
  <c r="I26" i="3" s="1"/>
  <c r="I29" i="3"/>
  <c r="K10" i="8"/>
  <c r="Q47" i="1"/>
  <c r="Q36" i="1"/>
  <c r="R3" i="1"/>
  <c r="L3" i="2"/>
  <c r="K3" i="3"/>
  <c r="H3" i="5"/>
  <c r="J3" i="6"/>
  <c r="K3" i="4"/>
  <c r="I8" i="2" l="1"/>
  <c r="I13" i="2" s="1"/>
  <c r="J23" i="3"/>
  <c r="J20" i="3"/>
  <c r="F5" i="8"/>
  <c r="F6" i="8" s="1"/>
  <c r="F7" i="8" s="1"/>
  <c r="F13" i="8" s="1"/>
  <c r="F15" i="8" s="1"/>
  <c r="L15" i="1"/>
  <c r="M13" i="1"/>
  <c r="G9" i="8"/>
  <c r="K6" i="2"/>
  <c r="L12" i="3"/>
  <c r="L9" i="3"/>
  <c r="L14" i="3" s="1"/>
  <c r="R36" i="1"/>
  <c r="I3" i="5"/>
  <c r="K3" i="6"/>
  <c r="L3" i="4"/>
  <c r="M3" i="2"/>
  <c r="N3" i="2" s="1"/>
  <c r="L3" i="3"/>
  <c r="J25" i="3" l="1"/>
  <c r="J26" i="3" s="1"/>
  <c r="J29" i="3"/>
  <c r="L15" i="3"/>
  <c r="M14" i="1"/>
  <c r="M39" i="1"/>
  <c r="M3" i="4"/>
  <c r="L3" i="6"/>
  <c r="J3" i="5"/>
  <c r="M3" i="3"/>
  <c r="N3" i="3" s="1"/>
  <c r="G5" i="8" l="1"/>
  <c r="G6" i="8" s="1"/>
  <c r="G7" i="8" s="1"/>
  <c r="G13" i="8" s="1"/>
  <c r="G15" i="8" s="1"/>
  <c r="M15" i="1"/>
  <c r="H9" i="8"/>
  <c r="N13" i="1"/>
  <c r="L6" i="2"/>
  <c r="M12" i="3"/>
  <c r="M9" i="3"/>
  <c r="M14" i="3" s="1"/>
  <c r="J8" i="2"/>
  <c r="J13" i="2" s="1"/>
  <c r="K23" i="3"/>
  <c r="K20" i="3"/>
  <c r="M3" i="6"/>
  <c r="K3" i="5"/>
  <c r="N3" i="4"/>
  <c r="O3" i="4" s="1"/>
  <c r="M15" i="3" l="1"/>
  <c r="M6" i="2" s="1"/>
  <c r="N39" i="1"/>
  <c r="N14" i="1"/>
  <c r="K29" i="3"/>
  <c r="K25" i="3"/>
  <c r="K26" i="3" s="1"/>
  <c r="M3" i="5"/>
  <c r="L3" i="5"/>
  <c r="N3" i="6"/>
  <c r="O3" i="6" s="1"/>
  <c r="N9" i="3" l="1"/>
  <c r="N14" i="3" s="1"/>
  <c r="N12" i="3"/>
  <c r="K8" i="2"/>
  <c r="K13" i="2" s="1"/>
  <c r="L23" i="3"/>
  <c r="L20" i="3"/>
  <c r="H5" i="8"/>
  <c r="H6" i="8" s="1"/>
  <c r="H7" i="8" s="1"/>
  <c r="H13" i="8" s="1"/>
  <c r="H15" i="8" s="1"/>
  <c r="N15" i="1"/>
  <c r="I9" i="8"/>
  <c r="O13" i="1"/>
  <c r="N15" i="3" l="1"/>
  <c r="N6" i="2" s="1"/>
  <c r="O39" i="1"/>
  <c r="O14" i="1"/>
  <c r="L29" i="3"/>
  <c r="L25" i="3"/>
  <c r="L26" i="3" s="1"/>
  <c r="L8" i="2" l="1"/>
  <c r="L13" i="2" s="1"/>
  <c r="M23" i="3"/>
  <c r="M20" i="3"/>
  <c r="O15" i="1"/>
  <c r="I5" i="8"/>
  <c r="I6" i="8" s="1"/>
  <c r="I7" i="8" s="1"/>
  <c r="I13" i="8" s="1"/>
  <c r="I15" i="8" s="1"/>
  <c r="J9" i="8"/>
  <c r="P13" i="1"/>
  <c r="M29" i="3" l="1"/>
  <c r="M25" i="3"/>
  <c r="M26" i="3" s="1"/>
  <c r="P14" i="1"/>
  <c r="P39" i="1"/>
  <c r="N23" i="3" l="1"/>
  <c r="M8" i="2"/>
  <c r="M13" i="2" s="1"/>
  <c r="N20" i="3"/>
  <c r="P15" i="1"/>
  <c r="J5" i="8"/>
  <c r="J6" i="8" s="1"/>
  <c r="J7" i="8" s="1"/>
  <c r="J13" i="8" s="1"/>
  <c r="J15" i="8" s="1"/>
  <c r="Q13" i="1"/>
  <c r="K9" i="8"/>
  <c r="Q39" i="1" l="1"/>
  <c r="Q14" i="1"/>
  <c r="N25" i="3"/>
  <c r="N26" i="3" s="1"/>
  <c r="N8" i="2" s="1"/>
  <c r="N13" i="2" s="1"/>
  <c r="N29" i="3"/>
  <c r="L9" i="8" l="1"/>
  <c r="R13" i="1"/>
  <c r="K5" i="8"/>
  <c r="K6" i="8" s="1"/>
  <c r="K7" i="8" s="1"/>
  <c r="K13" i="8" s="1"/>
  <c r="K15" i="8" s="1"/>
  <c r="Q15" i="1"/>
  <c r="R14" i="1" l="1"/>
  <c r="R39" i="1"/>
  <c r="L5" i="8" l="1"/>
  <c r="L6" i="8" s="1"/>
  <c r="L7" i="8" s="1"/>
  <c r="L13" i="8" s="1"/>
  <c r="L15" i="8" s="1"/>
  <c r="R15" i="1"/>
  <c r="C23" i="8" l="1"/>
  <c r="C24" i="8" s="1"/>
  <c r="D26" i="8"/>
  <c r="D30" i="8" s="1"/>
  <c r="D32" i="8" s="1"/>
  <c r="F34" i="8" s="1"/>
  <c r="C26" i="8" l="1"/>
  <c r="C30" i="8" s="1"/>
  <c r="C32" i="8" s="1"/>
  <c r="F42" i="8" s="1"/>
  <c r="E19" i="2" l="1"/>
  <c r="F19" i="2"/>
  <c r="G19" i="2"/>
  <c r="H19" i="2"/>
  <c r="I19" i="2"/>
  <c r="J19" i="2"/>
  <c r="K19" i="2"/>
  <c r="L19" i="2"/>
  <c r="M19" i="2"/>
  <c r="N19" i="2"/>
  <c r="E20" i="2"/>
  <c r="F20" i="2"/>
  <c r="G20" i="2"/>
  <c r="H20" i="2"/>
  <c r="I20" i="2"/>
  <c r="J20" i="2"/>
  <c r="K20" i="2"/>
  <c r="L20" i="2"/>
  <c r="M20" i="2"/>
  <c r="N20" i="2"/>
  <c r="E23" i="2"/>
  <c r="F23" i="2"/>
  <c r="G23" i="2"/>
  <c r="H23" i="2"/>
  <c r="I23" i="2"/>
  <c r="J23" i="2"/>
  <c r="K23" i="2"/>
  <c r="L23" i="2"/>
  <c r="M23" i="2"/>
  <c r="N23" i="2"/>
  <c r="E45" i="2"/>
  <c r="F45" i="2"/>
  <c r="G45" i="2"/>
  <c r="H45" i="2"/>
  <c r="I45" i="2"/>
  <c r="J45" i="2"/>
  <c r="K45" i="2"/>
  <c r="L45" i="2"/>
  <c r="M45" i="2"/>
  <c r="N45" i="2"/>
  <c r="E47" i="2"/>
  <c r="F47" i="2"/>
  <c r="G47" i="2"/>
  <c r="H47" i="2"/>
  <c r="I47" i="2"/>
  <c r="J47" i="2"/>
  <c r="K47" i="2"/>
  <c r="L47" i="2"/>
  <c r="M47" i="2"/>
  <c r="N47" i="2"/>
  <c r="E49" i="2"/>
  <c r="F49" i="2"/>
  <c r="G49" i="2"/>
  <c r="H49" i="2"/>
  <c r="I49" i="2"/>
  <c r="J49" i="2"/>
  <c r="K49" i="2"/>
  <c r="L49" i="2"/>
  <c r="M49" i="2"/>
  <c r="N49" i="2"/>
  <c r="D18" i="5"/>
  <c r="E18" i="5"/>
  <c r="F18" i="5"/>
  <c r="G18" i="5"/>
  <c r="H18" i="5"/>
  <c r="I18" i="5"/>
  <c r="J18" i="5"/>
  <c r="K18" i="5"/>
  <c r="L18" i="5"/>
  <c r="M18" i="5"/>
  <c r="D20" i="5"/>
  <c r="E20" i="5"/>
  <c r="F20" i="5"/>
  <c r="G20" i="5"/>
  <c r="H20" i="5"/>
  <c r="I20" i="5"/>
  <c r="J20" i="5"/>
  <c r="K20" i="5"/>
  <c r="L20" i="5"/>
  <c r="M20" i="5"/>
  <c r="D22" i="5"/>
  <c r="E22" i="5"/>
  <c r="F22" i="5"/>
  <c r="G22" i="5"/>
  <c r="H22" i="5"/>
  <c r="I22" i="5"/>
  <c r="J22" i="5"/>
  <c r="K22" i="5"/>
  <c r="L22" i="5"/>
  <c r="M22" i="5"/>
  <c r="G5" i="6"/>
  <c r="H5" i="6"/>
  <c r="I5" i="6"/>
  <c r="J5" i="6"/>
  <c r="K5" i="6"/>
  <c r="L5" i="6"/>
  <c r="M5" i="6"/>
  <c r="N5" i="6"/>
  <c r="O5" i="6"/>
  <c r="F6" i="6"/>
  <c r="G6" i="6"/>
  <c r="H6" i="6"/>
  <c r="I6" i="6"/>
  <c r="J6" i="6"/>
  <c r="K6" i="6"/>
  <c r="L6" i="6"/>
  <c r="M6" i="6"/>
  <c r="N6" i="6"/>
  <c r="O6" i="6"/>
  <c r="F8" i="6"/>
  <c r="G8" i="6"/>
  <c r="H8" i="6"/>
  <c r="I8" i="6"/>
  <c r="J8" i="6"/>
  <c r="K8" i="6"/>
  <c r="L8" i="6"/>
  <c r="M8" i="6"/>
  <c r="N8" i="6"/>
  <c r="O8" i="6"/>
  <c r="I16" i="1"/>
  <c r="J16" i="1"/>
  <c r="K16" i="1"/>
  <c r="L16" i="1"/>
  <c r="M16" i="1"/>
  <c r="N16" i="1"/>
  <c r="O16" i="1"/>
  <c r="P16" i="1"/>
  <c r="Q16" i="1"/>
  <c r="R16" i="1"/>
  <c r="I19" i="1"/>
  <c r="J19" i="1"/>
  <c r="K19" i="1"/>
  <c r="L19" i="1"/>
  <c r="M19" i="1"/>
  <c r="N19" i="1"/>
  <c r="O19" i="1"/>
  <c r="P19" i="1"/>
  <c r="Q19" i="1"/>
  <c r="R19" i="1"/>
  <c r="I20" i="1"/>
  <c r="J20" i="1"/>
  <c r="K20" i="1"/>
  <c r="L20" i="1"/>
  <c r="M20" i="1"/>
  <c r="N20" i="1"/>
  <c r="O20" i="1"/>
  <c r="P20" i="1"/>
  <c r="Q20" i="1"/>
  <c r="R20" i="1"/>
  <c r="I21" i="1"/>
  <c r="J21" i="1"/>
  <c r="K21" i="1"/>
  <c r="L21" i="1"/>
  <c r="M21" i="1"/>
  <c r="N21" i="1"/>
  <c r="O21" i="1"/>
  <c r="P21" i="1"/>
  <c r="Q21" i="1"/>
  <c r="R21" i="1"/>
  <c r="I22" i="1"/>
  <c r="J22" i="1"/>
  <c r="K22" i="1"/>
  <c r="L22" i="1"/>
  <c r="M22" i="1"/>
  <c r="N22" i="1"/>
  <c r="O22" i="1"/>
  <c r="P22" i="1"/>
  <c r="Q22" i="1"/>
  <c r="R22" i="1"/>
  <c r="I26" i="1"/>
  <c r="J26" i="1"/>
  <c r="K26" i="1"/>
  <c r="L26" i="1"/>
  <c r="M26" i="1"/>
  <c r="N26" i="1"/>
  <c r="O26" i="1"/>
  <c r="P26" i="1"/>
  <c r="Q26" i="1"/>
  <c r="R26" i="1"/>
  <c r="I38" i="1"/>
  <c r="J38" i="1"/>
  <c r="K38" i="1"/>
  <c r="L38" i="1"/>
  <c r="M38" i="1"/>
  <c r="N38" i="1"/>
  <c r="O38" i="1"/>
  <c r="P38" i="1"/>
  <c r="Q38" i="1"/>
  <c r="R38" i="1"/>
  <c r="I42" i="1"/>
  <c r="J42" i="1"/>
  <c r="K42" i="1"/>
  <c r="L42" i="1"/>
  <c r="M42" i="1"/>
  <c r="N42" i="1"/>
  <c r="O42" i="1"/>
  <c r="P42" i="1"/>
  <c r="Q42" i="1"/>
  <c r="R42" i="1"/>
  <c r="I58" i="1"/>
  <c r="J58" i="1"/>
  <c r="K58" i="1"/>
  <c r="L58" i="1"/>
  <c r="M58" i="1"/>
  <c r="N58" i="1"/>
  <c r="O58" i="1"/>
  <c r="P58" i="1"/>
  <c r="Q58" i="1"/>
  <c r="R58" i="1"/>
  <c r="J59" i="1"/>
  <c r="K59" i="1"/>
  <c r="L59" i="1"/>
  <c r="M59" i="1"/>
  <c r="N59" i="1"/>
  <c r="O59" i="1"/>
  <c r="P59" i="1"/>
  <c r="Q59" i="1"/>
  <c r="R59" i="1"/>
  <c r="I60" i="1"/>
  <c r="J60" i="1"/>
  <c r="K60" i="1"/>
  <c r="L60" i="1"/>
  <c r="M60" i="1"/>
  <c r="N60" i="1"/>
  <c r="O60" i="1"/>
  <c r="P60" i="1"/>
  <c r="Q60" i="1"/>
  <c r="R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 Agrawal</author>
  </authors>
  <commentList>
    <comment ref="E11" authorId="0" shapeId="0" xr:uid="{A62D588A-BEC5-4002-A404-2A55F3C10CCA}">
      <text>
        <r>
          <rPr>
            <sz val="9"/>
            <color indexed="81"/>
            <rFont val="Tahoma"/>
            <family val="2"/>
          </rPr>
          <t xml:space="preserve">
Management Estimates based on transcripts and interviews</t>
        </r>
      </text>
    </comment>
    <comment ref="E12" authorId="0" shapeId="0" xr:uid="{FA999EE9-C782-413E-877F-BE44BEC422F9}">
      <text>
        <r>
          <rPr>
            <sz val="9"/>
            <color indexed="81"/>
            <rFont val="Tahoma"/>
            <family val="2"/>
          </rPr>
          <t xml:space="preserve">
Management Estimates based on transcripts and interviews</t>
        </r>
      </text>
    </comment>
    <comment ref="E13" authorId="0" shapeId="0" xr:uid="{79BAA0C1-03DD-48F1-AB6E-1FF3607151F3}">
      <text>
        <r>
          <rPr>
            <sz val="9"/>
            <color indexed="81"/>
            <rFont val="Tahoma"/>
            <family val="2"/>
          </rPr>
          <t xml:space="preserve">
Management Estimates based on transcripts and interviews</t>
        </r>
      </text>
    </comment>
    <comment ref="E14" authorId="0" shapeId="0" xr:uid="{456A5CA5-022F-4DA8-9577-BBA8F6A00F89}">
      <text>
        <r>
          <rPr>
            <sz val="9"/>
            <color indexed="81"/>
            <rFont val="Tahoma"/>
            <family val="2"/>
          </rPr>
          <t xml:space="preserve">
Management Estimates based on transcripts and interviews</t>
        </r>
      </text>
    </comment>
    <comment ref="E21" authorId="0" shapeId="0" xr:uid="{3408A620-11ED-4E59-8BA7-E3883C542055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F21" authorId="0" shapeId="0" xr:uid="{E5B9F8BF-7DAC-4A9B-A9ED-AA51B58E1FA4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G21" authorId="0" shapeId="0" xr:uid="{69CCBFDD-1209-4F01-A857-93F1D4434DAE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H21" authorId="0" shapeId="0" xr:uid="{E0B5B12E-69F9-403A-9E83-AAEB14FF41A3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I21" authorId="0" shapeId="0" xr:uid="{936C4991-A464-4568-B2E4-547F4D99BE82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J21" authorId="0" shapeId="0" xr:uid="{AF4227E7-BC32-41C6-8A15-B6128932E225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K21" authorId="0" shapeId="0" xr:uid="{9679964C-DD09-4315-A450-6217741E2FE2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L21" authorId="0" shapeId="0" xr:uid="{0416748E-9FC7-4536-8C55-0D9859DDB969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M21" authorId="0" shapeId="0" xr:uid="{D85799DE-3E86-4812-BAB2-8D79FDEF7BF1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  <comment ref="N21" authorId="0" shapeId="0" xr:uid="{802AE8D3-0174-48C6-8EC0-351663F4873E}">
      <text>
        <r>
          <rPr>
            <sz val="9"/>
            <color indexed="81"/>
            <rFont val="Tahoma"/>
            <family val="2"/>
          </rPr>
          <t xml:space="preserve">
Based on streets estimates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 Agrawal</author>
  </authors>
  <commentList>
    <comment ref="B6" authorId="0" shapeId="0" xr:uid="{6BC1C3C5-EF99-4D5D-B3AA-D1BD831FBF2D}">
      <text>
        <r>
          <rPr>
            <b/>
            <sz val="9"/>
            <color indexed="81"/>
            <rFont val="Tahoma"/>
            <family val="2"/>
          </rPr>
          <t xml:space="preserve">CFI Education:
</t>
        </r>
        <r>
          <rPr>
            <sz val="9"/>
            <color indexed="81"/>
            <rFont val="Tahoma"/>
            <family val="2"/>
          </rPr>
          <t>Manual and Formula Driven cells</t>
        </r>
      </text>
    </comment>
    <comment ref="C6" authorId="0" shapeId="0" xr:uid="{E37E82DD-8E70-428B-AF37-51020CD1DBED}">
      <text>
        <r>
          <rPr>
            <b/>
            <sz val="9"/>
            <color indexed="81"/>
            <rFont val="Tahoma"/>
            <family val="2"/>
          </rPr>
          <t xml:space="preserve">CFI Education:
</t>
        </r>
        <r>
          <rPr>
            <sz val="9"/>
            <color indexed="81"/>
            <rFont val="Tahoma"/>
            <family val="2"/>
          </rPr>
          <t>Manual and Formula Driven cells</t>
        </r>
      </text>
    </comment>
    <comment ref="D6" authorId="0" shapeId="0" xr:uid="{2A873293-9007-485B-A88A-0EDB4AC7E108}">
      <text>
        <r>
          <rPr>
            <b/>
            <sz val="9"/>
            <color indexed="81"/>
            <rFont val="Tahoma"/>
            <family val="2"/>
          </rPr>
          <t xml:space="preserve">CFI Education:
</t>
        </r>
        <r>
          <rPr>
            <sz val="9"/>
            <color indexed="81"/>
            <rFont val="Tahoma"/>
            <family val="2"/>
          </rPr>
          <t>Manual and Formula Driven cells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 Agrawal</author>
  </authors>
  <commentList>
    <comment ref="D19" authorId="0" shapeId="0" xr:uid="{B8C31EC2-A7E0-41AE-BB6B-12C55D98268E}">
      <text>
        <r>
          <rPr>
            <sz val="9"/>
            <color indexed="81"/>
            <rFont val="Tahoma"/>
            <family val="2"/>
          </rPr>
          <t>Assumed</t>
        </r>
      </text>
    </comment>
    <comment ref="E19" authorId="0" shapeId="0" xr:uid="{DA618FC8-7B4C-4B1A-A28B-3CBF564E9C01}">
      <text>
        <r>
          <rPr>
            <sz val="9"/>
            <color indexed="81"/>
            <rFont val="Tahoma"/>
            <family val="2"/>
          </rPr>
          <t>Assumed</t>
        </r>
      </text>
    </comment>
    <comment ref="F19" authorId="0" shapeId="0" xr:uid="{332CE2FD-4E8A-429C-B765-7A0DFD8103A5}">
      <text>
        <r>
          <rPr>
            <sz val="9"/>
            <color indexed="81"/>
            <rFont val="Tahoma"/>
            <family val="2"/>
          </rPr>
          <t>Assumed</t>
        </r>
      </text>
    </comment>
    <comment ref="G19" authorId="0" shapeId="0" xr:uid="{0381D849-1C7C-4E0B-8AE0-CC89B3899E3C}">
      <text>
        <r>
          <rPr>
            <sz val="9"/>
            <color indexed="81"/>
            <rFont val="Tahoma"/>
            <family val="2"/>
          </rPr>
          <t>Assumed</t>
        </r>
      </text>
    </comment>
    <comment ref="H19" authorId="0" shapeId="0" xr:uid="{DDA96A2F-209E-4DEA-9A56-6C09269918EC}">
      <text>
        <r>
          <rPr>
            <sz val="9"/>
            <color indexed="81"/>
            <rFont val="Tahoma"/>
            <family val="2"/>
          </rPr>
          <t>Assumed</t>
        </r>
      </text>
    </comment>
    <comment ref="I19" authorId="0" shapeId="0" xr:uid="{D443AB85-BE5B-40D5-BC23-C1E005767202}">
      <text>
        <r>
          <rPr>
            <sz val="9"/>
            <color indexed="81"/>
            <rFont val="Tahoma"/>
            <family val="2"/>
          </rPr>
          <t>Assumed</t>
        </r>
      </text>
    </comment>
    <comment ref="J19" authorId="0" shapeId="0" xr:uid="{FC1C9466-611A-405B-8274-8AB91D6A3A1D}">
      <text>
        <r>
          <rPr>
            <sz val="9"/>
            <color indexed="81"/>
            <rFont val="Tahoma"/>
            <family val="2"/>
          </rPr>
          <t>Assumed</t>
        </r>
      </text>
    </comment>
    <comment ref="K19" authorId="0" shapeId="0" xr:uid="{1713BDA2-C332-4B61-A85A-DEEBD14D9F80}">
      <text>
        <r>
          <rPr>
            <sz val="9"/>
            <color indexed="81"/>
            <rFont val="Tahoma"/>
            <family val="2"/>
          </rPr>
          <t>Assumed</t>
        </r>
      </text>
    </comment>
    <comment ref="L19" authorId="0" shapeId="0" xr:uid="{6016674A-A487-49FA-8A14-530ADB41BF20}">
      <text>
        <r>
          <rPr>
            <sz val="9"/>
            <color indexed="81"/>
            <rFont val="Tahoma"/>
            <family val="2"/>
          </rPr>
          <t>Assumed</t>
        </r>
      </text>
    </comment>
    <comment ref="M19" authorId="0" shapeId="0" xr:uid="{F84C1611-C549-42A6-8E9C-AA8C772D78F2}">
      <text>
        <r>
          <rPr>
            <sz val="9"/>
            <color indexed="81"/>
            <rFont val="Tahoma"/>
            <family val="2"/>
          </rPr>
          <t>Assumed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Sandeep Agrawal</author>
  </authors>
  <commentList>
    <comment ref="O8" authorId="0" shapeId="0" xr:uid="{702A009B-387E-47D6-BC39-81B6230AE2B9}">
      <text>
        <r>
          <rPr>
            <b/>
            <sz val="9"/>
            <color indexed="81"/>
            <rFont val="Tahoma"/>
            <family val="2"/>
          </rPr>
          <t xml:space="preserve">
Fed Tax Rate</t>
        </r>
      </text>
    </comment>
  </commentList>
</comments>
</file>

<file path=xl/sharedStrings.xml><?xml version="1.0" encoding="utf-8"?>
<sst xmlns="http://schemas.openxmlformats.org/spreadsheetml/2006/main" count="217" uniqueCount="193">
  <si>
    <t>INCOME STATEMENT</t>
  </si>
  <si>
    <t>Revenue</t>
  </si>
  <si>
    <t>Gross profit</t>
  </si>
  <si>
    <t>Gros Profit Margin</t>
  </si>
  <si>
    <t>Administrative costs</t>
  </si>
  <si>
    <t>EBITDA</t>
  </si>
  <si>
    <t>D&amp;A</t>
  </si>
  <si>
    <t xml:space="preserve">EBIT </t>
  </si>
  <si>
    <t>EBT</t>
  </si>
  <si>
    <t>EBITDA margin</t>
  </si>
  <si>
    <t>EBIT margin</t>
  </si>
  <si>
    <t>Net income</t>
  </si>
  <si>
    <t>CAGR</t>
  </si>
  <si>
    <t>EPS</t>
  </si>
  <si>
    <t>PRIMARY ASSUMPTIONS</t>
  </si>
  <si>
    <t>Cost of goods sold (exc. D&amp;A)</t>
  </si>
  <si>
    <t>Net income margin</t>
  </si>
  <si>
    <t>COGS (as % of sales)</t>
  </si>
  <si>
    <t>Distribution costs (as % of sales)</t>
  </si>
  <si>
    <t>BALANCE SHEET</t>
  </si>
  <si>
    <t>Assets:</t>
  </si>
  <si>
    <t>PP&amp;E</t>
  </si>
  <si>
    <t>Goodwill</t>
  </si>
  <si>
    <t>Intangible assets</t>
  </si>
  <si>
    <t>Investments</t>
  </si>
  <si>
    <t>Inventories</t>
  </si>
  <si>
    <t>Shareholder's equity:</t>
  </si>
  <si>
    <t>Minority interest</t>
  </si>
  <si>
    <t>check:</t>
  </si>
  <si>
    <t>Deferred consideration</t>
  </si>
  <si>
    <t>DEPRECIATION AND AMORTIZATION</t>
  </si>
  <si>
    <t>Capital expenditure</t>
  </si>
  <si>
    <t>D&amp;A as % of PP&amp;E</t>
  </si>
  <si>
    <t>WORKING CAPITAL SCHEDULE</t>
  </si>
  <si>
    <t>(increase)/ decrease in working capital</t>
  </si>
  <si>
    <t>Ratios and assumptions:</t>
  </si>
  <si>
    <t>Inventories (days outstanding)</t>
  </si>
  <si>
    <t>Trade receivables ( days for collecting)</t>
  </si>
  <si>
    <t>CAPITAL SCHEDULE</t>
  </si>
  <si>
    <t>Beginning balance</t>
  </si>
  <si>
    <t>Issuance</t>
  </si>
  <si>
    <t>(repayment)</t>
  </si>
  <si>
    <t>Ending balance</t>
  </si>
  <si>
    <t>Lond term debt</t>
  </si>
  <si>
    <t>Average balances</t>
  </si>
  <si>
    <t>Cash balances:</t>
  </si>
  <si>
    <t>CASH FLOW STATEMENT</t>
  </si>
  <si>
    <t>Investing activities:</t>
  </si>
  <si>
    <t>Financing activities:</t>
  </si>
  <si>
    <t>Issuance of long term debt</t>
  </si>
  <si>
    <t>EQUITY SCHEDULE</t>
  </si>
  <si>
    <t>Cash Dividends Paid</t>
  </si>
  <si>
    <t>Dividends</t>
  </si>
  <si>
    <t>Dividend payout ratio</t>
  </si>
  <si>
    <t>LTM</t>
  </si>
  <si>
    <t>Expenditure on intangibles</t>
  </si>
  <si>
    <t>D&amp;A expense, net</t>
  </si>
  <si>
    <t>Capex, net</t>
  </si>
  <si>
    <t>All numbers are in millions of £</t>
  </si>
  <si>
    <t>Ditribution costs</t>
  </si>
  <si>
    <t>Finance costs</t>
  </si>
  <si>
    <t>Other finance income (pensions)</t>
  </si>
  <si>
    <t>Tax expense</t>
  </si>
  <si>
    <t>Diluted shares outstanding</t>
  </si>
  <si>
    <t>Operating activities:</t>
  </si>
  <si>
    <t>Cash flow from operations:</t>
  </si>
  <si>
    <t>Cash flow from investing:</t>
  </si>
  <si>
    <t>(Repayment of long term debt)</t>
  </si>
  <si>
    <t>Repurchase of equity</t>
  </si>
  <si>
    <t>Dividends paid</t>
  </si>
  <si>
    <t>Option proceeds</t>
  </si>
  <si>
    <t>Cash flow from financing activities:</t>
  </si>
  <si>
    <t>Net change in cash:</t>
  </si>
  <si>
    <t>Beginning cash balance</t>
  </si>
  <si>
    <t>Ending cash balance</t>
  </si>
  <si>
    <t>Non current assets:</t>
  </si>
  <si>
    <t>Investment in joint venture using equity method</t>
  </si>
  <si>
    <t>Financial assets- derivatives</t>
  </si>
  <si>
    <t>Total non current assets:</t>
  </si>
  <si>
    <t>Current assets:</t>
  </si>
  <si>
    <t>Trade receivables</t>
  </si>
  <si>
    <t>Cash and short term deposits</t>
  </si>
  <si>
    <t>Total current assets:</t>
  </si>
  <si>
    <t>Assets in disposal group held for sale</t>
  </si>
  <si>
    <t>Total assets:</t>
  </si>
  <si>
    <t>Non current liabilities:</t>
  </si>
  <si>
    <t>Long term debt</t>
  </si>
  <si>
    <t>Derivatives</t>
  </si>
  <si>
    <t>Retirement benefit obligation</t>
  </si>
  <si>
    <t>Deferred tax liability</t>
  </si>
  <si>
    <t>Deferred income</t>
  </si>
  <si>
    <t>Total non current liabilities:</t>
  </si>
  <si>
    <t>Trade payables</t>
  </si>
  <si>
    <t>Short term borrowing</t>
  </si>
  <si>
    <t>Current tax liabilities</t>
  </si>
  <si>
    <t>Provisions</t>
  </si>
  <si>
    <t>Total current liabilities:</t>
  </si>
  <si>
    <t>Liabilities associated with disposal group</t>
  </si>
  <si>
    <t>Total liabilities:</t>
  </si>
  <si>
    <t>Total equity:</t>
  </si>
  <si>
    <t>Capital expenditure (as % of sales)</t>
  </si>
  <si>
    <t>Beginning PP&amp;E</t>
  </si>
  <si>
    <t>(Depreciation expense)</t>
  </si>
  <si>
    <t>Depreciation expense</t>
  </si>
  <si>
    <t>Ending PP&amp;E</t>
  </si>
  <si>
    <t>Expenditure (as % of sales)</t>
  </si>
  <si>
    <t>Amortisation expense</t>
  </si>
  <si>
    <t>Amortisation as % of intangibles</t>
  </si>
  <si>
    <t>Beginning intangibles</t>
  </si>
  <si>
    <t>Ending  intangibles</t>
  </si>
  <si>
    <t>Working capital balances:</t>
  </si>
  <si>
    <t>Total non cash current assets:</t>
  </si>
  <si>
    <t>Total non intrest baring current liabilities:</t>
  </si>
  <si>
    <t>Net working capital/(deficit)</t>
  </si>
  <si>
    <t>Number of days in period</t>
  </si>
  <si>
    <t>Trade payables (days outstanding)</t>
  </si>
  <si>
    <t>Intrest rate</t>
  </si>
  <si>
    <t>Intrest expense</t>
  </si>
  <si>
    <t>Intrest income</t>
  </si>
  <si>
    <t>Intrest expense (net)</t>
  </si>
  <si>
    <t>Beginning equity balance</t>
  </si>
  <si>
    <t>Ending equity balance</t>
  </si>
  <si>
    <t>Effective tax rate</t>
  </si>
  <si>
    <t>Administrative Costs (as % of sales)</t>
  </si>
  <si>
    <t>Prev Q.</t>
  </si>
  <si>
    <t>Cur. Q.</t>
  </si>
  <si>
    <t>Cost of Revenue</t>
  </si>
  <si>
    <t>Current Liabilities:</t>
  </si>
  <si>
    <t>Cheese</t>
  </si>
  <si>
    <t>all numbers are in millions</t>
  </si>
  <si>
    <t>REVENUE ANALYSIS</t>
  </si>
  <si>
    <t>Spreads</t>
  </si>
  <si>
    <t>Milk</t>
  </si>
  <si>
    <t>Other</t>
  </si>
  <si>
    <t>Total Revenue</t>
  </si>
  <si>
    <t>Cheese YoY growth</t>
  </si>
  <si>
    <t>Spreads YoY growth</t>
  </si>
  <si>
    <t>Milk YoY growth</t>
  </si>
  <si>
    <t>other Yoy Growth</t>
  </si>
  <si>
    <t>Analyst's Estimates</t>
  </si>
  <si>
    <t>Growth YoY</t>
  </si>
  <si>
    <t>DISCOUNTED CASH FLOW VALUATION</t>
  </si>
  <si>
    <t>WACC</t>
  </si>
  <si>
    <t>Debt-to-Total Capitalization</t>
  </si>
  <si>
    <t>EBIT</t>
  </si>
  <si>
    <t>Equity-to-Total Capitalization</t>
  </si>
  <si>
    <t xml:space="preserve">Less: taxes </t>
  </si>
  <si>
    <t>Cost of Debt</t>
  </si>
  <si>
    <t>Tax Rate</t>
  </si>
  <si>
    <t>Plus: D&amp;A expense</t>
  </si>
  <si>
    <t xml:space="preserve">   After-tax Cost of Debt</t>
  </si>
  <si>
    <t>Less: capital expenditure</t>
  </si>
  <si>
    <t>Changes in working capital</t>
  </si>
  <si>
    <t>Cost of Equity</t>
  </si>
  <si>
    <t>Risk-free Rate</t>
  </si>
  <si>
    <t>Unlevered free cash flow</t>
  </si>
  <si>
    <t>Market Risk Premium (Rm-Rf)</t>
  </si>
  <si>
    <t>Levered Beta</t>
  </si>
  <si>
    <t>PV of FCF</t>
  </si>
  <si>
    <t>Size Premium</t>
  </si>
  <si>
    <t xml:space="preserve">   Cost of Equity</t>
  </si>
  <si>
    <t>PGM</t>
  </si>
  <si>
    <t>EMM</t>
  </si>
  <si>
    <t>Companies</t>
  </si>
  <si>
    <t>D/E</t>
  </si>
  <si>
    <t>Un. Beta</t>
  </si>
  <si>
    <t>Growth Rate of FCF after 10 years</t>
  </si>
  <si>
    <t>Exit multiple</t>
  </si>
  <si>
    <t>Terminal value</t>
  </si>
  <si>
    <t>PV of terminal value</t>
  </si>
  <si>
    <t>EnV</t>
  </si>
  <si>
    <t>Short term borrowings</t>
  </si>
  <si>
    <t>Long term borrowings</t>
  </si>
  <si>
    <t>Cash</t>
  </si>
  <si>
    <t>Equity value:</t>
  </si>
  <si>
    <t>Diluted shares</t>
  </si>
  <si>
    <t>Equity value per share:</t>
  </si>
  <si>
    <t>Total term debt:</t>
  </si>
  <si>
    <t>Other Income</t>
  </si>
  <si>
    <t>Comps</t>
  </si>
  <si>
    <t xml:space="preserve">Low </t>
  </si>
  <si>
    <t>Range</t>
  </si>
  <si>
    <t>High</t>
  </si>
  <si>
    <t>increase/ (decrease) in working capital</t>
  </si>
  <si>
    <t>Non-dividend paying Company</t>
  </si>
  <si>
    <t>NOPAT/Post tax EBIT</t>
  </si>
  <si>
    <t>Share Price</t>
  </si>
  <si>
    <t>Mcap</t>
  </si>
  <si>
    <t>Debt</t>
  </si>
  <si>
    <t>Interest rate</t>
  </si>
  <si>
    <t>Weighted Avg Int Rate</t>
  </si>
  <si>
    <t>Total</t>
  </si>
  <si>
    <t>Current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</si>
</sst>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&quot;£&quot;#,##0.00;[Red]\-&quot;£&quot;#,##0.00"/>
    <numFmt numFmtId="166" formatCode="_-* #,##0.00_-;\-* #,##0.00_-;_-* &quot;-&quot;??_-;_-@_-"/>
    <numFmt numFmtId="167" formatCode="_-[$£-809]* #,##0.00_-;\-[$£-809]* #,##0.00_-;_-[$£-809]* &quot;-&quot;??_-;_-@_-"/>
    <numFmt numFmtId="168" formatCode="0.0%"/>
    <numFmt numFmtId="169" formatCode="_(* #,##0.0%_);_(* \(#,##0.0%\);_(* &quot;--- %&quot;_);_(* @_%_)"/>
    <numFmt numFmtId="170" formatCode="0.000%"/>
    <numFmt numFmtId="171" formatCode="_(* #,##0.0%;_(* \(#,##0.0%\);_(* &quot;- %&quot;_);_(* @_%_)"/>
    <numFmt numFmtId="172" formatCode="_(* #,##0.00%;_(* \(#,##0.00%\);_(* &quot;- %&quot;_);_(* @_%_)"/>
    <numFmt numFmtId="173" formatCode="* _(##,##0.00_);[Red]* \(##,##0.00\);* _(&quot;-&quot;?_);_(@_)"/>
    <numFmt numFmtId="174" formatCode="#.##&quot;x&quot;"/>
    <numFmt numFmtId="175" formatCode="_-[$£-809]* #,##0.0_-;\-[$£-809]* #,##0.0_-;_-[$£-809]* &quot;-&quot;??_-;_-@_-"/>
    <numFmt numFmtId="176" formatCode="#.##\x"/>
    <numFmt numFmtId="177" formatCode="0.0%;\(0.0%\)"/>
    <numFmt numFmtId="178" formatCode="0.00;\(0.00\)&quot;x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9"/>
      <color indexed="0"/>
      <name val="Helvetica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9" fillId="0" borderId="0" applyFont="0" applyFill="0" applyBorder="0" applyAlignment="0" applyProtection="0">
      <alignment horizontal="right"/>
    </xf>
    <xf numFmtId="0" fontId="10" fillId="0" borderId="0"/>
    <xf numFmtId="0" fontId="1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</cellStyleXfs>
  <cellXfs count="1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5" fillId="0" borderId="0" xfId="0" applyFont="1"/>
    <xf numFmtId="166" fontId="0" fillId="0" borderId="0" xfId="0" applyNumberFormat="1"/>
    <xf numFmtId="9" fontId="0" fillId="0" borderId="0" xfId="2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7" fontId="0" fillId="0" borderId="2" xfId="0" applyNumberFormat="1" applyBorder="1"/>
    <xf numFmtId="9" fontId="5" fillId="0" borderId="0" xfId="2" applyFont="1"/>
    <xf numFmtId="166" fontId="0" fillId="0" borderId="0" xfId="1" applyFont="1"/>
    <xf numFmtId="166" fontId="4" fillId="0" borderId="0" xfId="1" applyFont="1"/>
    <xf numFmtId="166" fontId="8" fillId="0" borderId="0" xfId="1" applyFont="1"/>
    <xf numFmtId="9" fontId="0" fillId="0" borderId="0" xfId="0" applyNumberFormat="1"/>
    <xf numFmtId="168" fontId="0" fillId="0" borderId="0" xfId="2" applyNumberFormat="1" applyFont="1"/>
    <xf numFmtId="0" fontId="0" fillId="2" borderId="0" xfId="0" applyFill="1"/>
    <xf numFmtId="166" fontId="0" fillId="2" borderId="0" xfId="1" applyFont="1" applyFill="1"/>
    <xf numFmtId="10" fontId="0" fillId="0" borderId="0" xfId="2" applyNumberFormat="1" applyFont="1"/>
    <xf numFmtId="168" fontId="0" fillId="0" borderId="0" xfId="0" applyNumberFormat="1"/>
    <xf numFmtId="10" fontId="0" fillId="0" borderId="0" xfId="0" applyNumberFormat="1"/>
    <xf numFmtId="0" fontId="11" fillId="0" borderId="0" xfId="6" applyFont="1"/>
    <xf numFmtId="0" fontId="10" fillId="0" borderId="0" xfId="6"/>
    <xf numFmtId="0" fontId="0" fillId="0" borderId="9" xfId="0" applyBorder="1"/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166" fontId="0" fillId="2" borderId="0" xfId="0" applyNumberFormat="1" applyFill="1"/>
    <xf numFmtId="166" fontId="13" fillId="0" borderId="0" xfId="1" applyFont="1"/>
    <xf numFmtId="168" fontId="0" fillId="0" borderId="1" xfId="0" applyNumberFormat="1" applyBorder="1"/>
    <xf numFmtId="170" fontId="0" fillId="0" borderId="0" xfId="2" applyNumberFormat="1" applyFont="1"/>
    <xf numFmtId="166" fontId="4" fillId="0" borderId="0" xfId="0" applyNumberFormat="1" applyFont="1"/>
    <xf numFmtId="166" fontId="0" fillId="0" borderId="0" xfId="1" applyFont="1" applyAlignment="1">
      <alignment horizontal="center"/>
    </xf>
    <xf numFmtId="170" fontId="0" fillId="5" borderId="0" xfId="2" applyNumberFormat="1" applyFont="1" applyFill="1"/>
    <xf numFmtId="167" fontId="0" fillId="0" borderId="0" xfId="0" applyNumberFormat="1"/>
    <xf numFmtId="164" fontId="0" fillId="0" borderId="0" xfId="0" applyNumberFormat="1"/>
    <xf numFmtId="0" fontId="0" fillId="4" borderId="0" xfId="0" applyFill="1"/>
    <xf numFmtId="0" fontId="0" fillId="0" borderId="10" xfId="0" applyBorder="1"/>
    <xf numFmtId="166" fontId="0" fillId="0" borderId="10" xfId="1" applyFont="1" applyBorder="1"/>
    <xf numFmtId="168" fontId="0" fillId="0" borderId="10" xfId="2" applyNumberFormat="1" applyFont="1" applyBorder="1"/>
    <xf numFmtId="166" fontId="0" fillId="0" borderId="10" xfId="0" applyNumberFormat="1" applyBorder="1"/>
    <xf numFmtId="0" fontId="18" fillId="0" borderId="11" xfId="10" applyFont="1" applyBorder="1"/>
    <xf numFmtId="171" fontId="19" fillId="0" borderId="12" xfId="3" applyNumberFormat="1" applyFont="1" applyFill="1" applyBorder="1" applyAlignment="1">
      <alignment horizontal="right" vertical="distributed"/>
    </xf>
    <xf numFmtId="0" fontId="10" fillId="0" borderId="13" xfId="4" applyBorder="1" applyAlignment="1">
      <alignment vertical="top"/>
    </xf>
    <xf numFmtId="171" fontId="10" fillId="0" borderId="14" xfId="3" applyNumberFormat="1" applyFont="1" applyFill="1" applyBorder="1" applyAlignment="1">
      <alignment horizontal="right" vertical="distributed"/>
    </xf>
    <xf numFmtId="0" fontId="20" fillId="0" borderId="13" xfId="10" applyFont="1" applyBorder="1"/>
    <xf numFmtId="0" fontId="18" fillId="0" borderId="14" xfId="10" applyFont="1" applyBorder="1"/>
    <xf numFmtId="0" fontId="18" fillId="0" borderId="13" xfId="10" applyFont="1" applyBorder="1"/>
    <xf numFmtId="171" fontId="19" fillId="0" borderId="14" xfId="3" applyNumberFormat="1" applyFont="1" applyFill="1" applyBorder="1" applyAlignment="1">
      <alignment horizontal="right" vertical="distributed"/>
    </xf>
    <xf numFmtId="0" fontId="21" fillId="0" borderId="13" xfId="10" applyFont="1" applyBorder="1"/>
    <xf numFmtId="171" fontId="11" fillId="0" borderId="14" xfId="3" applyNumberFormat="1" applyFont="1" applyFill="1" applyBorder="1" applyAlignment="1">
      <alignment horizontal="right" vertical="distributed"/>
    </xf>
    <xf numFmtId="0" fontId="22" fillId="0" borderId="13" xfId="0" applyFont="1" applyBorder="1"/>
    <xf numFmtId="0" fontId="22" fillId="0" borderId="14" xfId="0" applyFont="1" applyBorder="1"/>
    <xf numFmtId="172" fontId="19" fillId="0" borderId="14" xfId="3" applyNumberFormat="1" applyFont="1" applyFill="1" applyBorder="1" applyAlignment="1">
      <alignment horizontal="right" vertical="distributed"/>
    </xf>
    <xf numFmtId="0" fontId="10" fillId="0" borderId="13" xfId="4" applyBorder="1"/>
    <xf numFmtId="10" fontId="19" fillId="0" borderId="14" xfId="3" applyNumberFormat="1" applyFont="1" applyFill="1" applyBorder="1" applyAlignment="1">
      <alignment horizontal="right" vertical="distributed"/>
    </xf>
    <xf numFmtId="0" fontId="21" fillId="0" borderId="15" xfId="10" applyFont="1" applyBorder="1"/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6" fontId="1" fillId="0" borderId="18" xfId="1" applyFont="1" applyBorder="1" applyAlignment="1"/>
    <xf numFmtId="174" fontId="0" fillId="0" borderId="0" xfId="0" applyNumberFormat="1"/>
    <xf numFmtId="165" fontId="0" fillId="0" borderId="0" xfId="0" applyNumberFormat="1"/>
    <xf numFmtId="166" fontId="0" fillId="0" borderId="10" xfId="1" applyFont="1" applyBorder="1" applyAlignment="1"/>
    <xf numFmtId="0" fontId="24" fillId="0" borderId="0" xfId="0" applyFont="1"/>
    <xf numFmtId="9" fontId="0" fillId="0" borderId="2" xfId="0" applyNumberFormat="1" applyBorder="1"/>
    <xf numFmtId="10" fontId="0" fillId="0" borderId="2" xfId="0" applyNumberFormat="1" applyBorder="1"/>
    <xf numFmtId="166" fontId="0" fillId="0" borderId="9" xfId="1" applyFont="1" applyBorder="1" applyAlignment="1"/>
    <xf numFmtId="171" fontId="0" fillId="0" borderId="0" xfId="0" applyNumberFormat="1"/>
    <xf numFmtId="166" fontId="0" fillId="0" borderId="5" xfId="0" applyNumberFormat="1" applyBorder="1"/>
    <xf numFmtId="166" fontId="0" fillId="0" borderId="5" xfId="1" applyFont="1" applyBorder="1"/>
    <xf numFmtId="0" fontId="24" fillId="0" borderId="5" xfId="0" applyFont="1" applyBorder="1"/>
    <xf numFmtId="167" fontId="4" fillId="0" borderId="0" xfId="0" applyNumberFormat="1" applyFont="1"/>
    <xf numFmtId="2" fontId="0" fillId="0" borderId="0" xfId="0" applyNumberFormat="1"/>
    <xf numFmtId="0" fontId="25" fillId="0" borderId="0" xfId="0" applyFont="1"/>
    <xf numFmtId="166" fontId="25" fillId="0" borderId="0" xfId="1" applyFont="1"/>
    <xf numFmtId="166" fontId="0" fillId="3" borderId="0" xfId="1" applyFont="1" applyFill="1"/>
    <xf numFmtId="176" fontId="0" fillId="0" borderId="0" xfId="0" applyNumberFormat="1"/>
    <xf numFmtId="166" fontId="0" fillId="0" borderId="0" xfId="1" applyFont="1" applyBorder="1"/>
    <xf numFmtId="170" fontId="22" fillId="0" borderId="16" xfId="2" applyNumberFormat="1" applyFont="1" applyBorder="1"/>
    <xf numFmtId="168" fontId="0" fillId="0" borderId="0" xfId="2" applyNumberFormat="1" applyFont="1" applyBorder="1"/>
    <xf numFmtId="10" fontId="0" fillId="0" borderId="0" xfId="2" applyNumberFormat="1" applyFont="1" applyBorder="1"/>
    <xf numFmtId="166" fontId="4" fillId="0" borderId="10" xfId="1" applyFont="1" applyBorder="1"/>
    <xf numFmtId="168" fontId="5" fillId="0" borderId="0" xfId="2" applyNumberFormat="1" applyFont="1"/>
    <xf numFmtId="166" fontId="0" fillId="6" borderId="0" xfId="1" applyFont="1" applyFill="1"/>
    <xf numFmtId="10" fontId="26" fillId="0" borderId="0" xfId="0" applyNumberFormat="1" applyFont="1"/>
    <xf numFmtId="9" fontId="26" fillId="0" borderId="0" xfId="0" applyNumberFormat="1" applyFont="1"/>
    <xf numFmtId="166" fontId="26" fillId="0" borderId="0" xfId="1" applyFont="1"/>
    <xf numFmtId="166" fontId="26" fillId="0" borderId="10" xfId="1" applyFont="1" applyBorder="1"/>
    <xf numFmtId="168" fontId="26" fillId="0" borderId="0" xfId="0" applyNumberFormat="1" applyFont="1"/>
    <xf numFmtId="177" fontId="26" fillId="0" borderId="0" xfId="0" applyNumberFormat="1" applyFont="1"/>
    <xf numFmtId="9" fontId="26" fillId="0" borderId="0" xfId="2" applyFont="1"/>
    <xf numFmtId="166" fontId="26" fillId="0" borderId="0" xfId="0" applyNumberFormat="1" applyFont="1"/>
    <xf numFmtId="166" fontId="0" fillId="7" borderId="0" xfId="0" applyNumberFormat="1" applyFill="1"/>
    <xf numFmtId="166" fontId="0" fillId="7" borderId="0" xfId="1" applyFont="1" applyFill="1"/>
    <xf numFmtId="10" fontId="26" fillId="0" borderId="1" xfId="0" applyNumberFormat="1" applyFont="1" applyBorder="1"/>
    <xf numFmtId="10" fontId="7" fillId="0" borderId="0" xfId="0" applyNumberFormat="1" applyFont="1"/>
    <xf numFmtId="0" fontId="26" fillId="0" borderId="0" xfId="0" applyFont="1"/>
    <xf numFmtId="0" fontId="27" fillId="0" borderId="0" xfId="0" applyFont="1"/>
    <xf numFmtId="0" fontId="26" fillId="0" borderId="5" xfId="0" applyFont="1" applyBorder="1"/>
    <xf numFmtId="0" fontId="26" fillId="0" borderId="0" xfId="0" applyFont="1" applyAlignment="1">
      <alignment horizontal="right"/>
    </xf>
    <xf numFmtId="172" fontId="10" fillId="0" borderId="14" xfId="3" applyNumberFormat="1" applyFont="1" applyFill="1" applyBorder="1" applyAlignment="1">
      <alignment horizontal="right" vertical="distributed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78" fontId="26" fillId="0" borderId="0" xfId="0" applyNumberFormat="1" applyFont="1"/>
    <xf numFmtId="10" fontId="4" fillId="0" borderId="0" xfId="2" applyNumberFormat="1" applyFont="1"/>
    <xf numFmtId="9" fontId="4" fillId="0" borderId="0" xfId="0" applyNumberFormat="1" applyFont="1"/>
    <xf numFmtId="10" fontId="4" fillId="0" borderId="0" xfId="0" applyNumberFormat="1" applyFont="1"/>
    <xf numFmtId="175" fontId="0" fillId="0" borderId="0" xfId="0" applyNumberFormat="1"/>
    <xf numFmtId="175" fontId="0" fillId="0" borderId="0" xfId="1" applyNumberFormat="1" applyFont="1"/>
    <xf numFmtId="173" fontId="29" fillId="0" borderId="14" xfId="5" applyNumberFormat="1" applyFont="1" applyFill="1" applyBorder="1"/>
    <xf numFmtId="166" fontId="28" fillId="0" borderId="0" xfId="1" applyFont="1"/>
    <xf numFmtId="168" fontId="28" fillId="0" borderId="0" xfId="2" applyNumberFormat="1" applyFont="1" applyBorder="1"/>
    <xf numFmtId="0" fontId="2" fillId="4" borderId="0" xfId="0" applyFont="1" applyFill="1" applyAlignment="1">
      <alignment horizontal="center"/>
    </xf>
    <xf numFmtId="0" fontId="28" fillId="8" borderId="6" xfId="0" applyFont="1" applyFill="1" applyBorder="1" applyAlignment="1">
      <alignment horizontal="center"/>
    </xf>
    <xf numFmtId="0" fontId="28" fillId="8" borderId="7" xfId="0" applyFont="1" applyFill="1" applyBorder="1" applyAlignment="1">
      <alignment horizontal="center"/>
    </xf>
    <xf numFmtId="0" fontId="28" fillId="8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164" fontId="4" fillId="8" borderId="0" xfId="0" applyNumberFormat="1" applyFont="1" applyFill="1" applyAlignment="1">
      <alignment horizontal="center"/>
    </xf>
  </cellXfs>
  <cellStyles count="11">
    <cellStyle name="_x000a_386grabber=M" xfId="5" xr:uid="{00000000-0005-0000-0000-000000000000}"/>
    <cellStyle name="AFE" xfId="4" xr:uid="{00000000-0005-0000-0000-000001000000}"/>
    <cellStyle name="Comma" xfId="1" builtinId="3"/>
    <cellStyle name="Normal" xfId="0" builtinId="0"/>
    <cellStyle name="Normal 13" xfId="7" xr:uid="{00000000-0005-0000-0000-000004000000}"/>
    <cellStyle name="Normal 14" xfId="8" xr:uid="{00000000-0005-0000-0000-000005000000}"/>
    <cellStyle name="Normal 17" xfId="9" xr:uid="{00000000-0005-0000-0000-000006000000}"/>
    <cellStyle name="Normal 2" xfId="6" xr:uid="{00000000-0005-0000-0000-000007000000}"/>
    <cellStyle name="Normal_Ch01 Pics v2.2" xfId="10" xr:uid="{00000000-0005-0000-0000-000009000000}"/>
    <cellStyle name="Pctg" xfId="3" xr:uid="{00000000-0005-0000-0000-00000A000000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DCF!$A$47:$A$50</c:f>
              <c:strCache>
                <c:ptCount val="4"/>
                <c:pt idx="0">
                  <c:v>EMM</c:v>
                </c:pt>
                <c:pt idx="1">
                  <c:v>PGM</c:v>
                </c:pt>
                <c:pt idx="2">
                  <c:v>Comps</c:v>
                </c:pt>
                <c:pt idx="3">
                  <c:v>Current price</c:v>
                </c:pt>
              </c:strCache>
            </c:strRef>
          </c:cat>
          <c:val>
            <c:numRef>
              <c:f>DCF!$B$47:$B$50</c:f>
              <c:numCache>
                <c:formatCode>_-* #,##0.00_-;\-* #,##0.00_-;_-* "-"??_-;_-@_-</c:formatCode>
                <c:ptCount val="4"/>
                <c:pt idx="0">
                  <c:v>3.9939233514469588</c:v>
                </c:pt>
                <c:pt idx="1">
                  <c:v>4.6622096167061438</c:v>
                </c:pt>
                <c:pt idx="2">
                  <c:v>3.91</c:v>
                </c:pt>
                <c:pt idx="3">
                  <c:v>4.6260000000000003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D-427B-B37F-1756E0454E4E}"/>
            </c:ext>
          </c:extLst>
        </c:ser>
        <c:ser>
          <c:idx val="1"/>
          <c:order val="1"/>
          <c:invertIfNegative val="0"/>
          <c:cat>
            <c:strRef>
              <c:f>DCF!$A$47:$A$50</c:f>
              <c:strCache>
                <c:ptCount val="4"/>
                <c:pt idx="0">
                  <c:v>EMM</c:v>
                </c:pt>
                <c:pt idx="1">
                  <c:v>PGM</c:v>
                </c:pt>
                <c:pt idx="2">
                  <c:v>Comps</c:v>
                </c:pt>
                <c:pt idx="3">
                  <c:v>Current price</c:v>
                </c:pt>
              </c:strCache>
            </c:strRef>
          </c:cat>
          <c:val>
            <c:numRef>
              <c:f>DCF!$C$47:$C$50</c:f>
              <c:numCache>
                <c:formatCode>_-* #,##0.00_-;\-* #,##0.00_-;_-* "-"??_-;_-@_-</c:formatCode>
                <c:ptCount val="4"/>
                <c:pt idx="0">
                  <c:v>1.2648040004668517</c:v>
                </c:pt>
                <c:pt idx="1">
                  <c:v>1.4694389006271109</c:v>
                </c:pt>
                <c:pt idx="2">
                  <c:v>3.2699999999999996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D-427B-B37F-1756E0454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153856"/>
        <c:axId val="60155392"/>
      </c:barChart>
      <c:catAx>
        <c:axId val="60153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0155392"/>
        <c:crosses val="autoZero"/>
        <c:auto val="1"/>
        <c:lblAlgn val="ctr"/>
        <c:lblOffset val="100"/>
        <c:noMultiLvlLbl val="0"/>
      </c:catAx>
      <c:valAx>
        <c:axId val="60155392"/>
        <c:scaling>
          <c:orientation val="minMax"/>
        </c:scaling>
        <c:delete val="0"/>
        <c:axPos val="b"/>
        <c:numFmt formatCode="_-* #,##0.00_-;\-* #,##0.00_-;_-* &quot;-&quot;??_-;_-@_-" sourceLinked="1"/>
        <c:majorTickMark val="out"/>
        <c:minorTickMark val="none"/>
        <c:tickLblPos val="nextTo"/>
        <c:crossAx val="6015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21981</xdr:colOff>
      <xdr:row>50</xdr:row>
      <xdr:rowOff>14165</xdr:rowOff>
    </xdr:from>
    <xdr:to>
      <xdr:col>13</xdr:col>
      <xdr:colOff>684335</xdr:colOff>
      <xdr:row>64</xdr:row>
      <xdr:rowOff>90365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0.59722</cdr:x>
      <cdr:y>0.08102</cdr:y>
    </cdr:from>
    <cdr:to>
      <cdr:x>0.6</cdr:x>
      <cdr:y>0.90509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C9504BA-3CC9-4E39-9D22-262F15E09F18}"/>
            </a:ext>
          </a:extLst>
        </cdr:cNvPr>
        <cdr:cNvCxnSpPr/>
      </cdr:nvCxnSpPr>
      <cdr:spPr>
        <a:xfrm xmlns:a="http://schemas.openxmlformats.org/drawingml/2006/main">
          <a:off x="2730500" y="222250"/>
          <a:ext cx="12700" cy="226060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zoomScaleNormal="100" workbookViewId="0">
      <selection activeCell="A14" sqref="A14"/>
    </sheetView>
  </sheetViews>
  <sheetFormatPr defaultRowHeight="14.5" x14ac:dyDescent="0.35"/>
  <cols>
    <col min="1" max="1" width="24.81640625" bestFit="1" customWidth="1"/>
    <col min="2" max="14" width="10.1796875" bestFit="1" customWidth="1"/>
  </cols>
  <sheetData>
    <row r="1" spans="1:14" x14ac:dyDescent="0.35">
      <c r="A1" s="117" t="s">
        <v>130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x14ac:dyDescent="0.35">
      <c r="A2" t="s">
        <v>129</v>
      </c>
      <c r="D2" s="38"/>
    </row>
    <row r="3" spans="1:14" ht="15" thickBot="1" x14ac:dyDescent="0.4">
      <c r="A3" s="2"/>
      <c r="B3" s="2">
        <v>2012</v>
      </c>
      <c r="C3" s="2">
        <f>B3+1</f>
        <v>2013</v>
      </c>
      <c r="D3" s="24">
        <f>C3+1</f>
        <v>2014</v>
      </c>
      <c r="E3" s="2">
        <f t="shared" ref="E3:M3" si="0">D3+1</f>
        <v>2015</v>
      </c>
      <c r="F3" s="2">
        <f t="shared" si="0"/>
        <v>2016</v>
      </c>
      <c r="G3" s="2">
        <f t="shared" si="0"/>
        <v>2017</v>
      </c>
      <c r="H3" s="2">
        <f t="shared" si="0"/>
        <v>2018</v>
      </c>
      <c r="I3" s="2">
        <f t="shared" si="0"/>
        <v>2019</v>
      </c>
      <c r="J3" s="2">
        <f t="shared" si="0"/>
        <v>2020</v>
      </c>
      <c r="K3" s="2">
        <f t="shared" si="0"/>
        <v>2021</v>
      </c>
      <c r="L3" s="2">
        <f t="shared" si="0"/>
        <v>2022</v>
      </c>
      <c r="M3" s="2">
        <f t="shared" si="0"/>
        <v>2023</v>
      </c>
      <c r="N3" s="2">
        <f>M3+1</f>
        <v>2024</v>
      </c>
    </row>
    <row r="4" spans="1:14" x14ac:dyDescent="0.35">
      <c r="D4" s="38"/>
    </row>
    <row r="5" spans="1:14" x14ac:dyDescent="0.35">
      <c r="A5" t="s">
        <v>128</v>
      </c>
      <c r="B5" s="90">
        <v>229.6</v>
      </c>
      <c r="C5" s="90">
        <v>231.3</v>
      </c>
      <c r="D5" s="91">
        <v>264.60000000000002</v>
      </c>
      <c r="E5" s="12">
        <f>D5*(1+E11)</f>
        <v>267.77520000000004</v>
      </c>
      <c r="F5" s="12">
        <f t="shared" ref="F5:N5" si="1">E5*(1+F11)</f>
        <v>270.98850240000002</v>
      </c>
      <c r="G5" s="12">
        <f t="shared" si="1"/>
        <v>274.24036442880004</v>
      </c>
      <c r="H5" s="12">
        <f t="shared" si="1"/>
        <v>277.53124880194565</v>
      </c>
      <c r="I5" s="12">
        <f t="shared" si="1"/>
        <v>280.86162378756899</v>
      </c>
      <c r="J5" s="12">
        <f t="shared" si="1"/>
        <v>284.2319632730198</v>
      </c>
      <c r="K5" s="12">
        <f t="shared" si="1"/>
        <v>287.64274683229604</v>
      </c>
      <c r="L5" s="12">
        <f t="shared" si="1"/>
        <v>291.09445979428358</v>
      </c>
      <c r="M5" s="12">
        <f t="shared" si="1"/>
        <v>294.587593311815</v>
      </c>
      <c r="N5" s="12">
        <f t="shared" si="1"/>
        <v>298.12264443155681</v>
      </c>
    </row>
    <row r="6" spans="1:14" x14ac:dyDescent="0.35">
      <c r="A6" t="s">
        <v>131</v>
      </c>
      <c r="B6" s="90">
        <v>211.3</v>
      </c>
      <c r="C6" s="90">
        <v>194.5</v>
      </c>
      <c r="D6" s="91">
        <v>177.4</v>
      </c>
      <c r="E6" s="12">
        <f>D6*(1+E12)</f>
        <v>176.42430000000002</v>
      </c>
      <c r="F6" s="12">
        <f t="shared" ref="F6:N6" si="2">E6*(1+F12)</f>
        <v>175.45396635000003</v>
      </c>
      <c r="G6" s="12">
        <f t="shared" si="2"/>
        <v>174.48896953507503</v>
      </c>
      <c r="H6" s="12">
        <f t="shared" si="2"/>
        <v>173.52928020263212</v>
      </c>
      <c r="I6" s="12">
        <f t="shared" si="2"/>
        <v>172.57486916151765</v>
      </c>
      <c r="J6" s="12">
        <f t="shared" si="2"/>
        <v>171.6257073811293</v>
      </c>
      <c r="K6" s="12">
        <f t="shared" si="2"/>
        <v>170.68176599053311</v>
      </c>
      <c r="L6" s="12">
        <f t="shared" si="2"/>
        <v>169.74301627758518</v>
      </c>
      <c r="M6" s="12">
        <f t="shared" si="2"/>
        <v>168.80942968805849</v>
      </c>
      <c r="N6" s="12">
        <f t="shared" si="2"/>
        <v>167.88097782477416</v>
      </c>
    </row>
    <row r="7" spans="1:14" x14ac:dyDescent="0.35">
      <c r="A7" t="s">
        <v>132</v>
      </c>
      <c r="B7" s="90">
        <v>1069</v>
      </c>
      <c r="C7" s="90">
        <v>951.6</v>
      </c>
      <c r="D7" s="91">
        <v>944.8</v>
      </c>
      <c r="E7" s="12">
        <f>D7*(1+E13)</f>
        <v>937.24159999999995</v>
      </c>
      <c r="F7" s="12">
        <f t="shared" ref="F7:N7" si="3">E7*(1+F13)</f>
        <v>929.74366719999989</v>
      </c>
      <c r="G7" s="12">
        <f t="shared" si="3"/>
        <v>922.30571786239989</v>
      </c>
      <c r="H7" s="12">
        <f t="shared" si="3"/>
        <v>914.92727211950069</v>
      </c>
      <c r="I7" s="12">
        <f t="shared" si="3"/>
        <v>916.75712666373965</v>
      </c>
      <c r="J7" s="12">
        <f t="shared" si="3"/>
        <v>918.59064091706716</v>
      </c>
      <c r="K7" s="12">
        <f t="shared" si="3"/>
        <v>920.42782219890125</v>
      </c>
      <c r="L7" s="12">
        <f t="shared" si="3"/>
        <v>922.26867784329909</v>
      </c>
      <c r="M7" s="12">
        <f t="shared" si="3"/>
        <v>924.1132151989857</v>
      </c>
      <c r="N7" s="12">
        <f t="shared" si="3"/>
        <v>925.96144162938367</v>
      </c>
    </row>
    <row r="8" spans="1:14" x14ac:dyDescent="0.35">
      <c r="A8" t="s">
        <v>133</v>
      </c>
      <c r="B8" s="90">
        <v>4.8</v>
      </c>
      <c r="C8" s="90">
        <v>4.2</v>
      </c>
      <c r="D8" s="91">
        <v>4.2</v>
      </c>
      <c r="E8" s="12">
        <f>D8*(1+E14)</f>
        <v>4.2</v>
      </c>
      <c r="F8" s="12">
        <f t="shared" ref="F8:N8" si="4">E8*(1+F14)</f>
        <v>4.2</v>
      </c>
      <c r="G8" s="12">
        <f t="shared" si="4"/>
        <v>4.2</v>
      </c>
      <c r="H8" s="12">
        <f t="shared" si="4"/>
        <v>4.2</v>
      </c>
      <c r="I8" s="12">
        <f t="shared" si="4"/>
        <v>4.2</v>
      </c>
      <c r="J8" s="12">
        <f t="shared" si="4"/>
        <v>4.2</v>
      </c>
      <c r="K8" s="12">
        <f t="shared" si="4"/>
        <v>4.2</v>
      </c>
      <c r="L8" s="12">
        <f t="shared" si="4"/>
        <v>4.2</v>
      </c>
      <c r="M8" s="12">
        <f t="shared" si="4"/>
        <v>4.2</v>
      </c>
      <c r="N8" s="12">
        <f t="shared" si="4"/>
        <v>4.2</v>
      </c>
    </row>
    <row r="9" spans="1:14" x14ac:dyDescent="0.35">
      <c r="A9" t="s">
        <v>134</v>
      </c>
      <c r="B9" s="12">
        <f>SUM(B5:B8)</f>
        <v>1514.7</v>
      </c>
      <c r="C9" s="12">
        <f>SUM(C5:C8)</f>
        <v>1381.6000000000001</v>
      </c>
      <c r="D9" s="39">
        <f>SUM(D5:D8)</f>
        <v>1391</v>
      </c>
      <c r="E9" s="12">
        <f t="shared" ref="E9:N9" si="5">SUM(E5:E8)</f>
        <v>1385.6411000000001</v>
      </c>
      <c r="F9" s="12">
        <f t="shared" si="5"/>
        <v>1380.3861359499999</v>
      </c>
      <c r="G9" s="12">
        <f t="shared" si="5"/>
        <v>1375.2350518262749</v>
      </c>
      <c r="H9" s="12">
        <f t="shared" si="5"/>
        <v>1370.1878011240785</v>
      </c>
      <c r="I9" s="12">
        <f t="shared" si="5"/>
        <v>1374.3936196128263</v>
      </c>
      <c r="J9" s="12">
        <f t="shared" si="5"/>
        <v>1378.6483115712163</v>
      </c>
      <c r="K9" s="12">
        <f t="shared" si="5"/>
        <v>1382.9523350217305</v>
      </c>
      <c r="L9" s="12">
        <f t="shared" si="5"/>
        <v>1387.3061539151679</v>
      </c>
      <c r="M9" s="12">
        <f t="shared" si="5"/>
        <v>1391.7102381988591</v>
      </c>
      <c r="N9" s="12">
        <f t="shared" si="5"/>
        <v>1396.1650638857147</v>
      </c>
    </row>
    <row r="10" spans="1:14" x14ac:dyDescent="0.35">
      <c r="D10" s="38"/>
    </row>
    <row r="11" spans="1:14" x14ac:dyDescent="0.35">
      <c r="A11" t="s">
        <v>135</v>
      </c>
      <c r="C11" s="16">
        <f t="shared" ref="C11:C14" si="6">C5/B5-1</f>
        <v>7.404181184669012E-3</v>
      </c>
      <c r="D11" s="40">
        <f>D5/C5-1</f>
        <v>0.14396887159533067</v>
      </c>
      <c r="E11" s="88">
        <v>1.2E-2</v>
      </c>
      <c r="F11" s="21">
        <f>E11</f>
        <v>1.2E-2</v>
      </c>
      <c r="G11" s="21">
        <f t="shared" ref="G11:N11" si="7">F11</f>
        <v>1.2E-2</v>
      </c>
      <c r="H11" s="21">
        <f t="shared" si="7"/>
        <v>1.2E-2</v>
      </c>
      <c r="I11" s="21">
        <f t="shared" si="7"/>
        <v>1.2E-2</v>
      </c>
      <c r="J11" s="21">
        <f t="shared" si="7"/>
        <v>1.2E-2</v>
      </c>
      <c r="K11" s="21">
        <f t="shared" si="7"/>
        <v>1.2E-2</v>
      </c>
      <c r="L11" s="21">
        <f t="shared" si="7"/>
        <v>1.2E-2</v>
      </c>
      <c r="M11" s="21">
        <f t="shared" si="7"/>
        <v>1.2E-2</v>
      </c>
      <c r="N11" s="21">
        <f t="shared" si="7"/>
        <v>1.2E-2</v>
      </c>
    </row>
    <row r="12" spans="1:14" x14ac:dyDescent="0.35">
      <c r="A12" t="s">
        <v>136</v>
      </c>
      <c r="C12" s="16">
        <f>C6/B6-1</f>
        <v>-7.9507808802650293E-2</v>
      </c>
      <c r="D12" s="40">
        <f>D6/C6-1</f>
        <v>-8.7917737789203088E-2</v>
      </c>
      <c r="E12" s="88">
        <v>-5.4999999999999997E-3</v>
      </c>
      <c r="F12" s="21">
        <f>E12</f>
        <v>-5.4999999999999997E-3</v>
      </c>
      <c r="G12" s="21">
        <f t="shared" ref="G12:N12" si="8">F12</f>
        <v>-5.4999999999999997E-3</v>
      </c>
      <c r="H12" s="21">
        <f t="shared" si="8"/>
        <v>-5.4999999999999997E-3</v>
      </c>
      <c r="I12" s="21">
        <f t="shared" si="8"/>
        <v>-5.4999999999999997E-3</v>
      </c>
      <c r="J12" s="21">
        <f t="shared" si="8"/>
        <v>-5.4999999999999997E-3</v>
      </c>
      <c r="K12" s="21">
        <f t="shared" si="8"/>
        <v>-5.4999999999999997E-3</v>
      </c>
      <c r="L12" s="21">
        <f t="shared" si="8"/>
        <v>-5.4999999999999997E-3</v>
      </c>
      <c r="M12" s="21">
        <f t="shared" si="8"/>
        <v>-5.4999999999999997E-3</v>
      </c>
      <c r="N12" s="21">
        <f t="shared" si="8"/>
        <v>-5.4999999999999997E-3</v>
      </c>
    </row>
    <row r="13" spans="1:14" x14ac:dyDescent="0.35">
      <c r="A13" t="s">
        <v>137</v>
      </c>
      <c r="C13" s="16">
        <f t="shared" si="6"/>
        <v>-0.10982226379794202</v>
      </c>
      <c r="D13" s="40">
        <f>D7/C7-1</f>
        <v>-7.1458596048760148E-3</v>
      </c>
      <c r="E13" s="88">
        <v>-8.0000000000000002E-3</v>
      </c>
      <c r="F13" s="21">
        <f>E13</f>
        <v>-8.0000000000000002E-3</v>
      </c>
      <c r="G13" s="21">
        <f t="shared" ref="G13:N13" si="9">F13</f>
        <v>-8.0000000000000002E-3</v>
      </c>
      <c r="H13" s="21">
        <f t="shared" si="9"/>
        <v>-8.0000000000000002E-3</v>
      </c>
      <c r="I13" s="21">
        <v>2E-3</v>
      </c>
      <c r="J13" s="21">
        <f t="shared" si="9"/>
        <v>2E-3</v>
      </c>
      <c r="K13" s="21">
        <f t="shared" si="9"/>
        <v>2E-3</v>
      </c>
      <c r="L13" s="21">
        <f t="shared" si="9"/>
        <v>2E-3</v>
      </c>
      <c r="M13" s="21">
        <f t="shared" si="9"/>
        <v>2E-3</v>
      </c>
      <c r="N13" s="21">
        <f t="shared" si="9"/>
        <v>2E-3</v>
      </c>
    </row>
    <row r="14" spans="1:14" x14ac:dyDescent="0.35">
      <c r="A14" t="s">
        <v>138</v>
      </c>
      <c r="C14" s="16">
        <f t="shared" si="6"/>
        <v>-0.12499999999999989</v>
      </c>
      <c r="D14" s="40">
        <f>D8/C8-1</f>
        <v>0</v>
      </c>
      <c r="E14" s="94">
        <v>0</v>
      </c>
      <c r="F14" s="7">
        <f>E14</f>
        <v>0</v>
      </c>
      <c r="G14" s="7">
        <f t="shared" ref="G14:N14" si="10">F14</f>
        <v>0</v>
      </c>
      <c r="H14" s="7">
        <f t="shared" si="10"/>
        <v>0</v>
      </c>
      <c r="I14" s="7">
        <f t="shared" si="10"/>
        <v>0</v>
      </c>
      <c r="J14" s="7">
        <f t="shared" si="10"/>
        <v>0</v>
      </c>
      <c r="K14" s="7">
        <f t="shared" si="10"/>
        <v>0</v>
      </c>
      <c r="L14" s="7">
        <f t="shared" si="10"/>
        <v>0</v>
      </c>
      <c r="M14" s="7">
        <f t="shared" si="10"/>
        <v>0</v>
      </c>
      <c r="N14" s="7">
        <f t="shared" si="10"/>
        <v>0</v>
      </c>
    </row>
    <row r="15" spans="1:14" ht="15" thickBot="1" x14ac:dyDescent="0.4">
      <c r="D15" s="38"/>
    </row>
    <row r="16" spans="1:14" ht="15" thickBot="1" x14ac:dyDescent="0.4">
      <c r="A16" s="118" t="s">
        <v>139</v>
      </c>
      <c r="B16" s="119"/>
      <c r="C16" s="119"/>
      <c r="D16" s="120"/>
    </row>
    <row r="17" spans="1:14" x14ac:dyDescent="0.35">
      <c r="D17" s="38"/>
    </row>
    <row r="18" spans="1:14" ht="15" thickBot="1" x14ac:dyDescent="0.4">
      <c r="A18" s="2"/>
      <c r="B18" s="2">
        <f>B3</f>
        <v>2012</v>
      </c>
      <c r="C18" s="2">
        <f t="shared" ref="C18:N18" si="11">C3</f>
        <v>2013</v>
      </c>
      <c r="D18" s="24">
        <f>C18+1</f>
        <v>2014</v>
      </c>
      <c r="E18" s="2">
        <f t="shared" si="11"/>
        <v>2015</v>
      </c>
      <c r="F18" s="2">
        <f t="shared" si="11"/>
        <v>2016</v>
      </c>
      <c r="G18" s="2">
        <f t="shared" si="11"/>
        <v>2017</v>
      </c>
      <c r="H18" s="2">
        <f t="shared" si="11"/>
        <v>2018</v>
      </c>
      <c r="I18" s="2">
        <f t="shared" si="11"/>
        <v>2019</v>
      </c>
      <c r="J18" s="2">
        <f t="shared" si="11"/>
        <v>2020</v>
      </c>
      <c r="K18" s="2">
        <f t="shared" si="11"/>
        <v>2021</v>
      </c>
      <c r="L18" s="2">
        <f t="shared" si="11"/>
        <v>2022</v>
      </c>
      <c r="M18" s="2">
        <f t="shared" si="11"/>
        <v>2023</v>
      </c>
      <c r="N18" s="2">
        <f t="shared" si="11"/>
        <v>2024</v>
      </c>
    </row>
    <row r="19" spans="1:14" x14ac:dyDescent="0.35">
      <c r="D19" s="38"/>
    </row>
    <row r="20" spans="1:14" x14ac:dyDescent="0.35">
      <c r="A20" t="s">
        <v>134</v>
      </c>
      <c r="B20" s="6">
        <f>B9</f>
        <v>1514.7</v>
      </c>
      <c r="C20" s="6">
        <f>C9</f>
        <v>1381.6000000000001</v>
      </c>
      <c r="D20" s="41">
        <f>D9</f>
        <v>1391</v>
      </c>
      <c r="E20">
        <f t="shared" ref="E20:N20" si="12">D20*(1+E21)</f>
        <v>1372.9169999999999</v>
      </c>
      <c r="F20">
        <f t="shared" si="12"/>
        <v>1389.392004</v>
      </c>
      <c r="G20">
        <f t="shared" si="12"/>
        <v>1406.0647080480001</v>
      </c>
      <c r="H20">
        <f t="shared" si="12"/>
        <v>1422.9374845445761</v>
      </c>
      <c r="I20">
        <f t="shared" si="12"/>
        <v>1440.0127343591112</v>
      </c>
      <c r="J20">
        <f t="shared" si="12"/>
        <v>1454.4128617027022</v>
      </c>
      <c r="K20">
        <f t="shared" si="12"/>
        <v>1468.9569903197294</v>
      </c>
      <c r="L20">
        <f t="shared" si="12"/>
        <v>1483.6465602229266</v>
      </c>
      <c r="M20">
        <f t="shared" si="12"/>
        <v>1498.4830258251559</v>
      </c>
      <c r="N20">
        <f t="shared" si="12"/>
        <v>1513.4678560834075</v>
      </c>
    </row>
    <row r="21" spans="1:14" x14ac:dyDescent="0.35">
      <c r="A21" t="s">
        <v>140</v>
      </c>
      <c r="C21" s="16">
        <f>C20/B20-1</f>
        <v>-8.7872185911401557E-2</v>
      </c>
      <c r="D21" s="40">
        <f>D20/C20-1</f>
        <v>6.8037058482917079E-3</v>
      </c>
      <c r="E21" s="93">
        <v>-1.2999999999999999E-2</v>
      </c>
      <c r="F21" s="93">
        <v>1.2E-2</v>
      </c>
      <c r="G21" s="93">
        <f>F21</f>
        <v>1.2E-2</v>
      </c>
      <c r="H21" s="93">
        <f>G21</f>
        <v>1.2E-2</v>
      </c>
      <c r="I21" s="93">
        <f>H21</f>
        <v>1.2E-2</v>
      </c>
      <c r="J21" s="93">
        <v>0.01</v>
      </c>
      <c r="K21" s="93">
        <f>J21</f>
        <v>0.01</v>
      </c>
      <c r="L21" s="93">
        <f>K21</f>
        <v>0.01</v>
      </c>
      <c r="M21" s="93">
        <f>L21</f>
        <v>0.01</v>
      </c>
      <c r="N21" s="93">
        <f>M21</f>
        <v>0.01</v>
      </c>
    </row>
    <row r="22" spans="1:14" x14ac:dyDescent="0.35">
      <c r="D22" s="38"/>
    </row>
    <row r="23" spans="1:14" x14ac:dyDescent="0.35">
      <c r="D23" s="38"/>
    </row>
    <row r="24" spans="1:14" ht="15" thickBot="1" x14ac:dyDescent="0.4">
      <c r="A24" s="2"/>
      <c r="B24" s="2">
        <f>B18</f>
        <v>2012</v>
      </c>
      <c r="C24" s="2">
        <f t="shared" ref="C24:N24" si="13">C18</f>
        <v>2013</v>
      </c>
      <c r="D24" s="2">
        <f t="shared" si="13"/>
        <v>2014</v>
      </c>
      <c r="E24" s="2">
        <f t="shared" si="13"/>
        <v>2015</v>
      </c>
      <c r="F24" s="2">
        <f t="shared" si="13"/>
        <v>2016</v>
      </c>
      <c r="G24" s="2">
        <f t="shared" si="13"/>
        <v>2017</v>
      </c>
      <c r="H24" s="2">
        <f t="shared" si="13"/>
        <v>2018</v>
      </c>
      <c r="I24" s="2">
        <f t="shared" si="13"/>
        <v>2019</v>
      </c>
      <c r="J24" s="2">
        <f t="shared" si="13"/>
        <v>2020</v>
      </c>
      <c r="K24" s="2">
        <f t="shared" si="13"/>
        <v>2021</v>
      </c>
      <c r="L24" s="2">
        <f t="shared" si="13"/>
        <v>2022</v>
      </c>
      <c r="M24" s="2">
        <f t="shared" si="13"/>
        <v>2023</v>
      </c>
      <c r="N24" s="2">
        <f t="shared" si="13"/>
        <v>2024</v>
      </c>
    </row>
    <row r="26" spans="1:14" x14ac:dyDescent="0.35">
      <c r="A26" t="s">
        <v>1</v>
      </c>
      <c r="B26" s="17"/>
      <c r="C26" s="17"/>
      <c r="D26" s="17"/>
      <c r="E26" s="6">
        <f>AVERAGE(E20,E9)</f>
        <v>1379.2790500000001</v>
      </c>
      <c r="F26" s="6">
        <f t="shared" ref="F26:N26" si="14">AVERAGE(F20,F9)</f>
        <v>1384.889069975</v>
      </c>
      <c r="G26" s="6">
        <f t="shared" si="14"/>
        <v>1390.6498799371375</v>
      </c>
      <c r="H26" s="6">
        <f t="shared" si="14"/>
        <v>1396.5626428343273</v>
      </c>
      <c r="I26" s="6">
        <f t="shared" si="14"/>
        <v>1407.2031769859686</v>
      </c>
      <c r="J26" s="6">
        <f t="shared" si="14"/>
        <v>1416.5305866369592</v>
      </c>
      <c r="K26" s="6">
        <f t="shared" si="14"/>
        <v>1425.9546626707299</v>
      </c>
      <c r="L26" s="6">
        <f t="shared" si="14"/>
        <v>1435.4763570690473</v>
      </c>
      <c r="M26" s="6">
        <f t="shared" si="14"/>
        <v>1445.0966320120074</v>
      </c>
      <c r="N26" s="6">
        <f t="shared" si="14"/>
        <v>1454.8164599845611</v>
      </c>
    </row>
  </sheetData>
  <mergeCells count="2">
    <mergeCell ref="A1:N1"/>
    <mergeCell ref="A16:D16"/>
  </mergeCells>
  <pageMargins left="0.7" right="0.7" top="0.75" bottom="0.75" header="0.3" footer="0.3"/>
  <pageSetup paperSize="9" orientation="portrait" r:id="rId1"/>
  <ignoredErrors>
    <ignoredError sqref="D1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60"/>
  <sheetViews>
    <sheetView zoomScale="90" zoomScaleNormal="90" workbookViewId="0">
      <selection sqref="A1:R1"/>
    </sheetView>
  </sheetViews>
  <sheetFormatPr defaultRowHeight="14.5" x14ac:dyDescent="0.35"/>
  <cols>
    <col min="1" max="1" width="31" customWidth="1"/>
    <col min="2" max="3" width="10" bestFit="1" customWidth="1"/>
    <col min="4" max="4" width="10" customWidth="1"/>
    <col min="7" max="7" width="10" bestFit="1" customWidth="1"/>
    <col min="9" max="18" width="10" bestFit="1" customWidth="1"/>
    <col min="19" max="19" width="9.54296875" bestFit="1" customWidth="1"/>
  </cols>
  <sheetData>
    <row r="1" spans="1:19" x14ac:dyDescent="0.3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x14ac:dyDescent="0.35">
      <c r="A2" t="s">
        <v>58</v>
      </c>
      <c r="B2" s="25"/>
      <c r="C2" s="25"/>
      <c r="D2" s="25"/>
      <c r="E2" s="25"/>
      <c r="F2" s="25"/>
      <c r="G2" s="25"/>
    </row>
    <row r="3" spans="1:19" ht="15.5" x14ac:dyDescent="0.35">
      <c r="B3" s="8">
        <v>2012</v>
      </c>
      <c r="C3" s="8">
        <f>B3+1</f>
        <v>2013</v>
      </c>
      <c r="D3" s="8">
        <f>C3+1</f>
        <v>2014</v>
      </c>
      <c r="E3" s="8">
        <f>C3</f>
        <v>2013</v>
      </c>
      <c r="F3" s="8">
        <f>D3</f>
        <v>2014</v>
      </c>
      <c r="G3" s="8" t="s">
        <v>54</v>
      </c>
      <c r="H3" s="9" t="s">
        <v>12</v>
      </c>
      <c r="I3" s="8">
        <f>D3+1</f>
        <v>2015</v>
      </c>
      <c r="J3" s="8">
        <f t="shared" ref="J3:R3" si="0">I3+1</f>
        <v>2016</v>
      </c>
      <c r="K3" s="8">
        <f t="shared" si="0"/>
        <v>2017</v>
      </c>
      <c r="L3" s="8">
        <f t="shared" si="0"/>
        <v>2018</v>
      </c>
      <c r="M3" s="8">
        <f t="shared" si="0"/>
        <v>2019</v>
      </c>
      <c r="N3" s="8">
        <f t="shared" si="0"/>
        <v>2020</v>
      </c>
      <c r="O3" s="8">
        <f t="shared" si="0"/>
        <v>2021</v>
      </c>
      <c r="P3" s="8">
        <f t="shared" si="0"/>
        <v>2022</v>
      </c>
      <c r="Q3" s="8">
        <f t="shared" si="0"/>
        <v>2023</v>
      </c>
      <c r="R3" s="8">
        <f t="shared" si="0"/>
        <v>2024</v>
      </c>
      <c r="S3" s="8"/>
    </row>
    <row r="4" spans="1:19" ht="15" thickBot="1" x14ac:dyDescent="0.4">
      <c r="A4" s="2"/>
      <c r="B4" s="2"/>
      <c r="C4" s="2"/>
      <c r="D4" s="27"/>
      <c r="E4" s="90" t="s">
        <v>124</v>
      </c>
      <c r="F4" s="90" t="s">
        <v>125</v>
      </c>
      <c r="G4" s="24"/>
      <c r="H4" s="30">
        <f>RATE(D3-B3,0,-B5,D5)</f>
        <v>-4.1702727003929359E-2</v>
      </c>
    </row>
    <row r="5" spans="1:19" x14ac:dyDescent="0.35">
      <c r="A5" t="s">
        <v>1</v>
      </c>
      <c r="B5" s="90">
        <v>1514.7</v>
      </c>
      <c r="C5" s="90">
        <v>1381.6</v>
      </c>
      <c r="D5" s="90">
        <v>1391</v>
      </c>
      <c r="E5" s="14"/>
      <c r="F5" s="14"/>
      <c r="G5" s="6">
        <f>D5+F5-E5</f>
        <v>1391</v>
      </c>
      <c r="H5" s="1"/>
      <c r="I5" s="13">
        <f>'Revnue analysis'!E26</f>
        <v>1379.2790500000001</v>
      </c>
      <c r="J5" s="13">
        <f>'Revnue analysis'!F26</f>
        <v>1384.889069975</v>
      </c>
      <c r="K5" s="13">
        <f>'Revnue analysis'!G26</f>
        <v>1390.6498799371375</v>
      </c>
      <c r="L5" s="13">
        <f>'Revnue analysis'!H26</f>
        <v>1396.5626428343273</v>
      </c>
      <c r="M5" s="13">
        <f>'Revnue analysis'!I26</f>
        <v>1407.2031769859686</v>
      </c>
      <c r="N5" s="13">
        <f>'Revnue analysis'!J26</f>
        <v>1416.5305866369592</v>
      </c>
      <c r="O5" s="13">
        <f>'Revnue analysis'!K26</f>
        <v>1425.9546626707299</v>
      </c>
      <c r="P5" s="13">
        <f>'Revnue analysis'!L26</f>
        <v>1435.4763570690473</v>
      </c>
      <c r="Q5" s="13">
        <f>'Revnue analysis'!M26</f>
        <v>1445.0966320120074</v>
      </c>
      <c r="R5" s="13">
        <f>'Revnue analysis'!N26</f>
        <v>1454.8164599845611</v>
      </c>
      <c r="S5" s="12"/>
    </row>
    <row r="6" spans="1:19" x14ac:dyDescent="0.35">
      <c r="A6" t="s">
        <v>15</v>
      </c>
      <c r="B6" s="97">
        <f>1106.5-B13</f>
        <v>1063.3</v>
      </c>
      <c r="C6" s="96">
        <f>1008.2-C13</f>
        <v>972.40000000000009</v>
      </c>
      <c r="D6" s="96">
        <f>1040.4-D13</f>
        <v>1008.1000000000001</v>
      </c>
      <c r="G6" s="6">
        <f>D6+F6-E6</f>
        <v>1008.1000000000001</v>
      </c>
      <c r="H6" s="1"/>
      <c r="I6" s="12">
        <f>I5*I29</f>
        <v>979.53605459254015</v>
      </c>
      <c r="J6" s="12">
        <f t="shared" ref="J6:Q6" si="1">J5*J29</f>
        <v>983.52017719086189</v>
      </c>
      <c r="K6" s="12">
        <f t="shared" si="1"/>
        <v>987.61138778495422</v>
      </c>
      <c r="L6" s="12">
        <f t="shared" si="1"/>
        <v>991.81051227687954</v>
      </c>
      <c r="M6" s="12">
        <f t="shared" si="1"/>
        <v>999.36720418897369</v>
      </c>
      <c r="N6" s="12">
        <f t="shared" si="1"/>
        <v>1005.9913416679702</v>
      </c>
      <c r="O6" s="12">
        <f t="shared" si="1"/>
        <v>1012.684129654781</v>
      </c>
      <c r="P6" s="12">
        <f t="shared" si="1"/>
        <v>1019.4462442275817</v>
      </c>
      <c r="Q6" s="12">
        <f t="shared" si="1"/>
        <v>1026.2783687071949</v>
      </c>
      <c r="R6" s="12">
        <f>R5*R29</f>
        <v>1033.1811937327425</v>
      </c>
      <c r="S6" s="12"/>
    </row>
    <row r="7" spans="1:19" x14ac:dyDescent="0.35">
      <c r="A7" s="4" t="s">
        <v>2</v>
      </c>
      <c r="B7" s="13">
        <f>B5-B6</f>
        <v>451.40000000000009</v>
      </c>
      <c r="C7" s="13">
        <f>C5-SUM(C6:C6)</f>
        <v>409.19999999999982</v>
      </c>
      <c r="D7" s="13">
        <f>D5-SUM(D6:D6)</f>
        <v>382.89999999999986</v>
      </c>
      <c r="E7" s="13"/>
      <c r="F7" s="13"/>
      <c r="G7" s="13">
        <f t="shared" ref="G7" si="2">G5-SUM(G6:G6)</f>
        <v>382.89999999999986</v>
      </c>
      <c r="H7" s="1"/>
      <c r="I7" s="13">
        <f>I5-I6</f>
        <v>399.74299540745994</v>
      </c>
      <c r="J7" s="13">
        <f t="shared" ref="J7:Q7" si="3">J5-J6</f>
        <v>401.3688927841381</v>
      </c>
      <c r="K7" s="13">
        <f t="shared" si="3"/>
        <v>403.03849215218327</v>
      </c>
      <c r="L7" s="13">
        <f t="shared" si="3"/>
        <v>404.7521305574478</v>
      </c>
      <c r="M7" s="13">
        <f t="shared" si="3"/>
        <v>407.83597279699495</v>
      </c>
      <c r="N7" s="13">
        <f t="shared" si="3"/>
        <v>410.53924496898901</v>
      </c>
      <c r="O7" s="13">
        <f t="shared" si="3"/>
        <v>413.2705330159489</v>
      </c>
      <c r="P7" s="13">
        <f t="shared" si="3"/>
        <v>416.03011284146555</v>
      </c>
      <c r="Q7" s="13">
        <f t="shared" si="3"/>
        <v>418.81826330481249</v>
      </c>
      <c r="R7" s="13">
        <f>R5-R6</f>
        <v>421.63526625181862</v>
      </c>
      <c r="S7" s="13"/>
    </row>
    <row r="8" spans="1:19" x14ac:dyDescent="0.35">
      <c r="A8" s="5" t="s">
        <v>3</v>
      </c>
      <c r="B8" s="11">
        <f t="shared" ref="B8:Q8" si="4">B7/B5</f>
        <v>0.29801280781672945</v>
      </c>
      <c r="C8" s="11">
        <f t="shared" si="4"/>
        <v>0.29617834394904446</v>
      </c>
      <c r="D8" s="11">
        <f t="shared" si="4"/>
        <v>0.27526959022286113</v>
      </c>
      <c r="E8" s="11"/>
      <c r="F8" s="11"/>
      <c r="G8" s="11">
        <f t="shared" si="4"/>
        <v>0.27526959022286113</v>
      </c>
      <c r="H8" s="1"/>
      <c r="I8" s="86">
        <f t="shared" si="4"/>
        <v>0.28982024732954503</v>
      </c>
      <c r="J8" s="86">
        <f t="shared" si="4"/>
        <v>0.28982024732954503</v>
      </c>
      <c r="K8" s="86">
        <f t="shared" si="4"/>
        <v>0.28982024732954503</v>
      </c>
      <c r="L8" s="86">
        <f t="shared" si="4"/>
        <v>0.28982024732954503</v>
      </c>
      <c r="M8" s="86">
        <f t="shared" si="4"/>
        <v>0.28982024732954503</v>
      </c>
      <c r="N8" s="86">
        <f t="shared" si="4"/>
        <v>0.28982024732954503</v>
      </c>
      <c r="O8" s="86">
        <f t="shared" si="4"/>
        <v>0.28982024732954503</v>
      </c>
      <c r="P8" s="86">
        <f t="shared" si="4"/>
        <v>0.28982024732954503</v>
      </c>
      <c r="Q8" s="86">
        <f t="shared" si="4"/>
        <v>0.28982024732954503</v>
      </c>
      <c r="R8" s="86">
        <f>R7/R5</f>
        <v>0.28982024732954503</v>
      </c>
      <c r="S8" s="11"/>
    </row>
    <row r="9" spans="1:19" x14ac:dyDescent="0.35">
      <c r="A9" t="s">
        <v>59</v>
      </c>
      <c r="B9" s="90">
        <v>259</v>
      </c>
      <c r="C9" s="90">
        <v>229.1</v>
      </c>
      <c r="D9" s="90">
        <v>207.8</v>
      </c>
      <c r="G9" s="6">
        <f>D9+F9-E9</f>
        <v>207.8</v>
      </c>
      <c r="H9" s="1"/>
      <c r="I9" s="12">
        <f>I5*I30</f>
        <v>206.04901983465135</v>
      </c>
      <c r="J9" s="12">
        <f t="shared" ref="J9:R9" si="5">J5*J30</f>
        <v>206.88709470942129</v>
      </c>
      <c r="K9" s="12">
        <f t="shared" si="5"/>
        <v>207.74769593884773</v>
      </c>
      <c r="L9" s="12">
        <f t="shared" si="5"/>
        <v>208.63099725447393</v>
      </c>
      <c r="M9" s="12">
        <f t="shared" si="5"/>
        <v>210.22057525354728</v>
      </c>
      <c r="N9" s="12">
        <f t="shared" si="5"/>
        <v>211.61398699005042</v>
      </c>
      <c r="O9" s="12">
        <f t="shared" si="5"/>
        <v>213.02183961393075</v>
      </c>
      <c r="P9" s="12">
        <f t="shared" si="5"/>
        <v>214.44427534072469</v>
      </c>
      <c r="Q9" s="12">
        <f t="shared" si="5"/>
        <v>215.88143790948607</v>
      </c>
      <c r="R9" s="12">
        <f t="shared" si="5"/>
        <v>217.33347259870007</v>
      </c>
      <c r="S9" s="12"/>
    </row>
    <row r="10" spans="1:19" x14ac:dyDescent="0.35">
      <c r="A10" t="s">
        <v>4</v>
      </c>
      <c r="B10" s="90">
        <v>85.7</v>
      </c>
      <c r="C10" s="90">
        <v>84</v>
      </c>
      <c r="D10" s="90">
        <v>86.5</v>
      </c>
      <c r="G10" s="6">
        <f>D10+F10-E10</f>
        <v>86.5</v>
      </c>
      <c r="H10" s="1"/>
      <c r="I10" s="12">
        <f>I5*I31</f>
        <v>85.771127120776427</v>
      </c>
      <c r="J10" s="12">
        <f t="shared" ref="J10:R10" si="6">J5*J31</f>
        <v>86.119988894922713</v>
      </c>
      <c r="K10" s="12">
        <f t="shared" si="6"/>
        <v>86.478227616507823</v>
      </c>
      <c r="L10" s="12">
        <f t="shared" si="6"/>
        <v>86.845915604003821</v>
      </c>
      <c r="M10" s="12">
        <f t="shared" si="6"/>
        <v>87.507602307179212</v>
      </c>
      <c r="N10" s="12">
        <f t="shared" si="6"/>
        <v>88.087631735511849</v>
      </c>
      <c r="O10" s="12">
        <f t="shared" si="6"/>
        <v>88.673672409071273</v>
      </c>
      <c r="P10" s="12">
        <f t="shared" si="6"/>
        <v>89.265783527298765</v>
      </c>
      <c r="Q10" s="12">
        <f t="shared" si="6"/>
        <v>89.864024923823607</v>
      </c>
      <c r="R10" s="12">
        <f t="shared" si="6"/>
        <v>90.468457073087379</v>
      </c>
      <c r="S10" s="12"/>
    </row>
    <row r="11" spans="1:19" x14ac:dyDescent="0.35">
      <c r="A11" s="4" t="s">
        <v>5</v>
      </c>
      <c r="B11" s="13">
        <f>B7-SUM(B9:B10)</f>
        <v>106.7000000000001</v>
      </c>
      <c r="C11" s="13">
        <f>C7-SUM(C9:C10)</f>
        <v>96.099999999999795</v>
      </c>
      <c r="D11" s="13">
        <f>D7-SUM(D9:D10)</f>
        <v>88.599999999999852</v>
      </c>
      <c r="E11" s="13"/>
      <c r="F11" s="13"/>
      <c r="G11" s="13">
        <f t="shared" ref="G11" si="7">G7-SUM(G9:G10)</f>
        <v>88.599999999999852</v>
      </c>
      <c r="H11" s="1"/>
      <c r="I11" s="13">
        <f>I7-SUM(I9:I10)</f>
        <v>107.92284845203216</v>
      </c>
      <c r="J11" s="13">
        <f t="shared" ref="J11:R11" si="8">J7-SUM(J9:J10)</f>
        <v>108.36180917979408</v>
      </c>
      <c r="K11" s="13">
        <f t="shared" si="8"/>
        <v>108.8125685968277</v>
      </c>
      <c r="L11" s="13">
        <f t="shared" si="8"/>
        <v>109.27521769897004</v>
      </c>
      <c r="M11" s="13">
        <f t="shared" si="8"/>
        <v>110.10779523626843</v>
      </c>
      <c r="N11" s="13">
        <f t="shared" si="8"/>
        <v>110.83762624342671</v>
      </c>
      <c r="O11" s="13">
        <f t="shared" si="8"/>
        <v>111.57502099294686</v>
      </c>
      <c r="P11" s="13">
        <f t="shared" si="8"/>
        <v>112.3200539734421</v>
      </c>
      <c r="Q11" s="13">
        <f t="shared" si="8"/>
        <v>113.07280047150283</v>
      </c>
      <c r="R11" s="13">
        <f t="shared" si="8"/>
        <v>113.83333658003119</v>
      </c>
      <c r="S11" s="13"/>
    </row>
    <row r="12" spans="1:19" x14ac:dyDescent="0.35">
      <c r="A12" s="5" t="s">
        <v>9</v>
      </c>
      <c r="B12" s="11">
        <f>B11/B5</f>
        <v>7.0442992011619535E-2</v>
      </c>
      <c r="C12" s="11">
        <f>C11/C5</f>
        <v>6.9557035321366381E-2</v>
      </c>
      <c r="D12" s="11">
        <f>D11/D5</f>
        <v>6.3695183321351434E-2</v>
      </c>
      <c r="E12" s="11"/>
      <c r="F12" s="11"/>
      <c r="G12" s="11">
        <f t="shared" ref="G12" si="9">G11/G5</f>
        <v>6.3695183321351434E-2</v>
      </c>
      <c r="H12" s="1"/>
      <c r="I12" s="86">
        <f>I11/I5</f>
        <v>7.8245840428035313E-2</v>
      </c>
      <c r="J12" s="86">
        <f t="shared" ref="J12:R12" si="10">J11/J5</f>
        <v>7.8245840428035313E-2</v>
      </c>
      <c r="K12" s="86">
        <f t="shared" si="10"/>
        <v>7.8245840428035299E-2</v>
      </c>
      <c r="L12" s="86">
        <f t="shared" si="10"/>
        <v>7.8245840428035299E-2</v>
      </c>
      <c r="M12" s="86">
        <f t="shared" si="10"/>
        <v>7.8245840428035313E-2</v>
      </c>
      <c r="N12" s="86">
        <f t="shared" si="10"/>
        <v>7.8245840428035271E-2</v>
      </c>
      <c r="O12" s="86">
        <f t="shared" si="10"/>
        <v>7.8245840428035313E-2</v>
      </c>
      <c r="P12" s="86">
        <f t="shared" si="10"/>
        <v>7.8245840428035299E-2</v>
      </c>
      <c r="Q12" s="86">
        <f t="shared" si="10"/>
        <v>7.824584042803534E-2</v>
      </c>
      <c r="R12" s="86">
        <f t="shared" si="10"/>
        <v>7.8245840428035313E-2</v>
      </c>
    </row>
    <row r="13" spans="1:19" x14ac:dyDescent="0.35">
      <c r="A13" t="s">
        <v>6</v>
      </c>
      <c r="B13" s="90">
        <f>30.9+3.2+9.1</f>
        <v>43.2</v>
      </c>
      <c r="C13" s="95">
        <f>29+3.4+3.4</f>
        <v>35.799999999999997</v>
      </c>
      <c r="D13" s="95">
        <f>28.6+3.3+0.4</f>
        <v>32.300000000000004</v>
      </c>
      <c r="E13" s="77"/>
      <c r="F13" s="77"/>
      <c r="G13" s="6">
        <f>D13+F13-E13</f>
        <v>32.300000000000004</v>
      </c>
      <c r="H13" s="1"/>
      <c r="I13" s="12">
        <f>'D&amp;A'!E29</f>
        <v>41.314220706309968</v>
      </c>
      <c r="J13" s="12">
        <f>'D&amp;A'!F29</f>
        <v>42.096399127364926</v>
      </c>
      <c r="K13" s="12">
        <f>'D&amp;A'!G29</f>
        <v>42.431407453648518</v>
      </c>
      <c r="L13" s="12">
        <f>'D&amp;A'!H29</f>
        <v>44.410725034115956</v>
      </c>
      <c r="M13" s="12">
        <f>'D&amp;A'!I29</f>
        <v>45.262991046739721</v>
      </c>
      <c r="N13" s="12">
        <f>'D&amp;A'!J29</f>
        <v>46.177273678460274</v>
      </c>
      <c r="O13" s="12">
        <f>'D&amp;A'!K29</f>
        <v>47.303890015099896</v>
      </c>
      <c r="P13" s="12">
        <f>'D&amp;A'!L29</f>
        <v>48.146109903375915</v>
      </c>
      <c r="Q13" s="12">
        <f>'D&amp;A'!M29</f>
        <v>48.999708264204969</v>
      </c>
      <c r="R13" s="12">
        <f>'D&amp;A'!N29</f>
        <v>49.843790655265636</v>
      </c>
      <c r="S13" s="12"/>
    </row>
    <row r="14" spans="1:19" x14ac:dyDescent="0.35">
      <c r="A14" s="4" t="s">
        <v>7</v>
      </c>
      <c r="B14" s="13">
        <f>B11-SUM(B13:B13)</f>
        <v>63.500000000000099</v>
      </c>
      <c r="C14" s="13">
        <f>C11-SUM(C13:C13)</f>
        <v>60.299999999999798</v>
      </c>
      <c r="D14" s="13">
        <f>D11-SUM(D13:D13)</f>
        <v>56.299999999999848</v>
      </c>
      <c r="E14" s="13"/>
      <c r="F14" s="13"/>
      <c r="G14" s="13">
        <f t="shared" ref="G14" si="11">G11-SUM(G13:G13)</f>
        <v>56.299999999999848</v>
      </c>
      <c r="H14" s="1"/>
      <c r="I14" s="13">
        <f>I11-I13</f>
        <v>66.608627745722188</v>
      </c>
      <c r="J14" s="13">
        <f t="shared" ref="J14:R14" si="12">J11-J13</f>
        <v>66.265410052429161</v>
      </c>
      <c r="K14" s="13">
        <f t="shared" si="12"/>
        <v>66.381161143179185</v>
      </c>
      <c r="L14" s="13">
        <f t="shared" si="12"/>
        <v>64.864492664854083</v>
      </c>
      <c r="M14" s="13">
        <f t="shared" si="12"/>
        <v>64.844804189528702</v>
      </c>
      <c r="N14" s="13">
        <f t="shared" si="12"/>
        <v>64.660352564966445</v>
      </c>
      <c r="O14" s="13">
        <f t="shared" si="12"/>
        <v>64.271130977846965</v>
      </c>
      <c r="P14" s="13">
        <f t="shared" si="12"/>
        <v>64.173944070066185</v>
      </c>
      <c r="Q14" s="13">
        <f t="shared" si="12"/>
        <v>64.073092207297861</v>
      </c>
      <c r="R14" s="13">
        <f t="shared" si="12"/>
        <v>63.989545924765551</v>
      </c>
      <c r="S14" s="12"/>
    </row>
    <row r="15" spans="1:19" x14ac:dyDescent="0.35">
      <c r="A15" s="5" t="s">
        <v>10</v>
      </c>
      <c r="B15" s="11">
        <f>B14/B5</f>
        <v>4.1922492902885126E-2</v>
      </c>
      <c r="C15" s="11">
        <f>C14/C5</f>
        <v>4.3645049218297483E-2</v>
      </c>
      <c r="D15" s="11">
        <f>D14/D5</f>
        <v>4.0474478792235695E-2</v>
      </c>
      <c r="E15" s="11"/>
      <c r="F15" s="11"/>
      <c r="G15" s="11">
        <f t="shared" ref="G15" si="13">G14/G5</f>
        <v>4.0474478792235695E-2</v>
      </c>
      <c r="H15" s="1"/>
      <c r="I15" s="86">
        <f>I14/I5</f>
        <v>4.8292350808722996E-2</v>
      </c>
      <c r="J15" s="86">
        <f t="shared" ref="J15:R15" si="14">J14/J5</f>
        <v>4.7848893813296815E-2</v>
      </c>
      <c r="K15" s="86">
        <f t="shared" si="14"/>
        <v>4.7733913547081931E-2</v>
      </c>
      <c r="L15" s="86">
        <f t="shared" si="14"/>
        <v>4.6445816804329978E-2</v>
      </c>
      <c r="M15" s="86">
        <f t="shared" si="14"/>
        <v>4.608062662878374E-2</v>
      </c>
      <c r="N15" s="86">
        <f t="shared" si="14"/>
        <v>4.5646986499937939E-2</v>
      </c>
      <c r="O15" s="86">
        <f t="shared" si="14"/>
        <v>4.5072352340761582E-2</v>
      </c>
      <c r="P15" s="86">
        <f t="shared" si="14"/>
        <v>4.4705678191103347E-2</v>
      </c>
      <c r="Q15" s="86">
        <f t="shared" si="14"/>
        <v>4.433827523221677E-2</v>
      </c>
      <c r="R15" s="86">
        <f t="shared" si="14"/>
        <v>4.3984617774701716E-2</v>
      </c>
      <c r="S15" s="11"/>
    </row>
    <row r="16" spans="1:19" x14ac:dyDescent="0.35">
      <c r="A16" t="s">
        <v>60</v>
      </c>
      <c r="B16" s="90">
        <v>21.1</v>
      </c>
      <c r="C16" s="90">
        <v>18.7</v>
      </c>
      <c r="D16" s="90">
        <v>9.9</v>
      </c>
      <c r="E16" s="14"/>
      <c r="F16" s="14"/>
      <c r="G16" s="6">
        <f>D16+F16-E16</f>
        <v>9.9</v>
      </c>
      <c r="H16" s="1"/>
      <c r="I16" s="87">
        <f ca="1">'Debt &amp; Cash'!D22</f>
        <v>9.8514410220813904</v>
      </c>
      <c r="J16" s="87">
        <f ca="1">'Debt &amp; Cash'!E22</f>
        <v>9.6562380969232304</v>
      </c>
      <c r="K16" s="87">
        <f ca="1">'Debt &amp; Cash'!F22</f>
        <v>9.4764980078990781</v>
      </c>
      <c r="L16" s="87">
        <f ca="1">'Debt &amp; Cash'!G22</f>
        <v>9.2943968072829861</v>
      </c>
      <c r="M16" s="87">
        <f ca="1">'Debt &amp; Cash'!H22</f>
        <v>9.1103382192415978</v>
      </c>
      <c r="N16" s="87">
        <f ca="1">'Debt &amp; Cash'!I22</f>
        <v>8.9241639501005317</v>
      </c>
      <c r="O16" s="87">
        <f ca="1">'Debt &amp; Cash'!J22</f>
        <v>8.734897184520511</v>
      </c>
      <c r="P16" s="87">
        <f ca="1">'Debt &amp; Cash'!K22</f>
        <v>8.5428275193722474</v>
      </c>
      <c r="Q16" s="87">
        <f ca="1">'Debt &amp; Cash'!L22</f>
        <v>8.3480292625299057</v>
      </c>
      <c r="R16" s="87">
        <f ca="1">'Debt &amp; Cash'!M22</f>
        <v>8.1504767006942629</v>
      </c>
      <c r="S16" s="12"/>
    </row>
    <row r="17" spans="1:19" x14ac:dyDescent="0.35">
      <c r="A17" t="s">
        <v>178</v>
      </c>
      <c r="B17" s="90">
        <f>4.6-0.3</f>
        <v>4.3</v>
      </c>
      <c r="C17" s="90">
        <v>7.7</v>
      </c>
      <c r="D17" s="90">
        <f>18.2+0.3</f>
        <v>18.5</v>
      </c>
      <c r="E17" s="14"/>
      <c r="F17" s="14"/>
      <c r="G17" s="6">
        <f>D17+F17-E17</f>
        <v>18.5</v>
      </c>
      <c r="H17" s="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x14ac:dyDescent="0.35">
      <c r="A18" t="s">
        <v>61</v>
      </c>
      <c r="B18" s="90">
        <v>5.5</v>
      </c>
      <c r="C18" s="90">
        <f>-3.5</f>
        <v>-3.5</v>
      </c>
      <c r="D18" s="90">
        <f>-0.3</f>
        <v>-0.3</v>
      </c>
      <c r="E18" s="14"/>
      <c r="F18" s="14"/>
      <c r="G18" s="6">
        <f>D18+F18-E18</f>
        <v>-0.3</v>
      </c>
      <c r="H18" s="1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9" x14ac:dyDescent="0.35">
      <c r="A19" s="4" t="s">
        <v>8</v>
      </c>
      <c r="B19" s="13">
        <f>B14-B16+B17+B18</f>
        <v>52.200000000000095</v>
      </c>
      <c r="C19" s="13">
        <f>C14-C16+C17+C18</f>
        <v>45.799999999999798</v>
      </c>
      <c r="D19" s="13">
        <f>D14-D16+D17+D18</f>
        <v>64.599999999999852</v>
      </c>
      <c r="E19" s="13"/>
      <c r="F19" s="13"/>
      <c r="G19" s="13">
        <f>G14-G16+G17+G18</f>
        <v>64.599999999999852</v>
      </c>
      <c r="H19" s="1"/>
      <c r="I19" s="13">
        <f ca="1">I14-I16</f>
        <v>56.7571867236408</v>
      </c>
      <c r="J19" s="13">
        <f t="shared" ref="J19:R19" ca="1" si="15">J14-J16</f>
        <v>56.609171955505929</v>
      </c>
      <c r="K19" s="13">
        <f t="shared" ca="1" si="15"/>
        <v>56.904663135280103</v>
      </c>
      <c r="L19" s="13">
        <f t="shared" ca="1" si="15"/>
        <v>55.570095857571097</v>
      </c>
      <c r="M19" s="13">
        <f t="shared" ca="1" si="15"/>
        <v>55.734465970287104</v>
      </c>
      <c r="N19" s="13">
        <f t="shared" ca="1" si="15"/>
        <v>55.73618861486591</v>
      </c>
      <c r="O19" s="13">
        <f t="shared" ca="1" si="15"/>
        <v>55.536233793326453</v>
      </c>
      <c r="P19" s="13">
        <f t="shared" ca="1" si="15"/>
        <v>55.631116550693939</v>
      </c>
      <c r="Q19" s="13">
        <f t="shared" ca="1" si="15"/>
        <v>55.725062944767956</v>
      </c>
      <c r="R19" s="13">
        <f t="shared" ca="1" si="15"/>
        <v>55.839069224071288</v>
      </c>
      <c r="S19" s="6"/>
    </row>
    <row r="20" spans="1:19" x14ac:dyDescent="0.35">
      <c r="A20" t="s">
        <v>62</v>
      </c>
      <c r="B20" s="90">
        <v>10.199999999999999</v>
      </c>
      <c r="C20" s="90">
        <v>9.1999999999999993</v>
      </c>
      <c r="D20" s="90">
        <v>9.4</v>
      </c>
      <c r="E20" s="14"/>
      <c r="F20" s="14"/>
      <c r="G20" s="6">
        <f>D20+F20-E20</f>
        <v>9.4</v>
      </c>
      <c r="H20" s="1"/>
      <c r="I20" s="6">
        <f ca="1">I19*I32</f>
        <v>8.2587856842449661</v>
      </c>
      <c r="J20" s="6">
        <f t="shared" ref="J20:R20" ca="1" si="16">J19*J32</f>
        <v>8.2372479316061451</v>
      </c>
      <c r="K20" s="6">
        <f t="shared" ca="1" si="16"/>
        <v>8.2802451001800961</v>
      </c>
      <c r="L20" s="6">
        <f t="shared" ca="1" si="16"/>
        <v>8.0860511000181052</v>
      </c>
      <c r="M20" s="6">
        <f t="shared" ca="1" si="16"/>
        <v>8.1099687325185759</v>
      </c>
      <c r="N20" s="6">
        <f t="shared" ca="1" si="16"/>
        <v>8.1102193959712192</v>
      </c>
      <c r="O20" s="6">
        <f t="shared" ca="1" si="16"/>
        <v>8.0811238027441163</v>
      </c>
      <c r="P20" s="6">
        <f t="shared" ca="1" si="16"/>
        <v>8.0949302720824186</v>
      </c>
      <c r="Q20" s="6">
        <f t="shared" ca="1" si="16"/>
        <v>8.1086004904151707</v>
      </c>
      <c r="R20" s="6">
        <f t="shared" ca="1" si="16"/>
        <v>8.1251896394159662</v>
      </c>
      <c r="S20" s="6"/>
    </row>
    <row r="21" spans="1:19" x14ac:dyDescent="0.35">
      <c r="A21" s="4" t="s">
        <v>11</v>
      </c>
      <c r="B21" s="13">
        <f>B19-B20</f>
        <v>42.000000000000099</v>
      </c>
      <c r="C21" s="13">
        <f>C19-C20</f>
        <v>36.599999999999795</v>
      </c>
      <c r="D21" s="13">
        <f>D19-D20</f>
        <v>55.199999999999854</v>
      </c>
      <c r="E21" s="13"/>
      <c r="F21" s="13"/>
      <c r="G21" s="13">
        <f>G19-G20</f>
        <v>55.199999999999854</v>
      </c>
      <c r="H21" s="1"/>
      <c r="I21" s="13">
        <f ca="1">I19-I20</f>
        <v>48.49840103939583</v>
      </c>
      <c r="J21" s="13">
        <f t="shared" ref="J21:R21" ca="1" si="17">J19-J20</f>
        <v>48.37192402389978</v>
      </c>
      <c r="K21" s="13">
        <f t="shared" ca="1" si="17"/>
        <v>48.624418035100007</v>
      </c>
      <c r="L21" s="13">
        <f t="shared" ca="1" si="17"/>
        <v>47.484044757552994</v>
      </c>
      <c r="M21" s="13">
        <f t="shared" ca="1" si="17"/>
        <v>47.62449723776853</v>
      </c>
      <c r="N21" s="13">
        <f t="shared" ca="1" si="17"/>
        <v>47.625969218894689</v>
      </c>
      <c r="O21" s="13">
        <f t="shared" ca="1" si="17"/>
        <v>47.455109990582336</v>
      </c>
      <c r="P21" s="13">
        <f t="shared" ca="1" si="17"/>
        <v>47.536186278611524</v>
      </c>
      <c r="Q21" s="13">
        <f t="shared" ca="1" si="17"/>
        <v>47.616462454352785</v>
      </c>
      <c r="R21" s="13">
        <f t="shared" ca="1" si="17"/>
        <v>47.713879584655324</v>
      </c>
      <c r="S21" s="6"/>
    </row>
    <row r="22" spans="1:19" x14ac:dyDescent="0.35">
      <c r="A22" s="11" t="s">
        <v>16</v>
      </c>
      <c r="B22" s="11">
        <f>B21/B5</f>
        <v>2.7728263022380736E-2</v>
      </c>
      <c r="C22" s="11">
        <f>C21/C5</f>
        <v>2.6491024898668065E-2</v>
      </c>
      <c r="D22" s="11">
        <f>D21/D5</f>
        <v>3.9683680805176029E-2</v>
      </c>
      <c r="E22" s="11"/>
      <c r="F22" s="11"/>
      <c r="G22" s="11">
        <f>G21/G5</f>
        <v>3.9683680805176029E-2</v>
      </c>
      <c r="H22" s="1"/>
      <c r="I22" s="86">
        <f ca="1">I21/I5</f>
        <v>3.5162138538532742E-2</v>
      </c>
      <c r="J22" s="86">
        <f t="shared" ref="J22:R22" ca="1" si="18">J21/J5</f>
        <v>3.4928374461626006E-2</v>
      </c>
      <c r="K22" s="86">
        <f t="shared" ca="1" si="18"/>
        <v>3.4965248073295062E-2</v>
      </c>
      <c r="L22" s="86">
        <f t="shared" ca="1" si="18"/>
        <v>3.4000655109307526E-2</v>
      </c>
      <c r="M22" s="86">
        <f t="shared" ca="1" si="18"/>
        <v>3.3843369611894644E-2</v>
      </c>
      <c r="N22" s="86">
        <f t="shared" ca="1" si="18"/>
        <v>3.3621560782506908E-2</v>
      </c>
      <c r="O22" s="86">
        <f t="shared" ca="1" si="18"/>
        <v>3.3279536322495473E-2</v>
      </c>
      <c r="P22" s="86">
        <f t="shared" ca="1" si="18"/>
        <v>3.3115269397867908E-2</v>
      </c>
      <c r="Q22" s="86">
        <f t="shared" ca="1" si="18"/>
        <v>3.2950365670741624E-2</v>
      </c>
      <c r="R22" s="86">
        <f t="shared" ca="1" si="18"/>
        <v>3.2797181566918535E-2</v>
      </c>
      <c r="S22" s="11"/>
    </row>
    <row r="23" spans="1:19" x14ac:dyDescent="0.35">
      <c r="A23" s="11"/>
      <c r="B23" s="11"/>
      <c r="H23" s="1"/>
    </row>
    <row r="24" spans="1:19" x14ac:dyDescent="0.35">
      <c r="A24" t="s">
        <v>63</v>
      </c>
      <c r="B24" s="90">
        <v>133.19999999999999</v>
      </c>
      <c r="C24" s="90">
        <v>134.69999999999999</v>
      </c>
      <c r="D24" s="90">
        <v>138.1</v>
      </c>
      <c r="E24" s="77"/>
      <c r="F24" s="78"/>
      <c r="G24" s="12">
        <f>D24</f>
        <v>138.1</v>
      </c>
      <c r="H24" s="1"/>
      <c r="I24" s="6">
        <f>$G$24</f>
        <v>138.1</v>
      </c>
      <c r="J24" s="6">
        <f t="shared" ref="J24:R24" si="19">$G$24</f>
        <v>138.1</v>
      </c>
      <c r="K24" s="6">
        <f t="shared" si="19"/>
        <v>138.1</v>
      </c>
      <c r="L24" s="6">
        <f t="shared" si="19"/>
        <v>138.1</v>
      </c>
      <c r="M24" s="6">
        <f t="shared" si="19"/>
        <v>138.1</v>
      </c>
      <c r="N24" s="6">
        <f t="shared" si="19"/>
        <v>138.1</v>
      </c>
      <c r="O24" s="6">
        <f t="shared" si="19"/>
        <v>138.1</v>
      </c>
      <c r="P24" s="6">
        <f t="shared" si="19"/>
        <v>138.1</v>
      </c>
      <c r="Q24" s="6">
        <f t="shared" si="19"/>
        <v>138.1</v>
      </c>
      <c r="R24" s="6">
        <f t="shared" si="19"/>
        <v>138.1</v>
      </c>
      <c r="S24" s="6"/>
    </row>
    <row r="25" spans="1:19" x14ac:dyDescent="0.35">
      <c r="H25" s="1"/>
    </row>
    <row r="26" spans="1:19" ht="15" thickBot="1" x14ac:dyDescent="0.4">
      <c r="A26" s="2" t="s">
        <v>13</v>
      </c>
      <c r="B26" s="10">
        <f t="shared" ref="B26" si="20">B21/B24</f>
        <v>0.31531531531531609</v>
      </c>
      <c r="C26" s="10">
        <f>C21/C24</f>
        <v>0.27171492204899628</v>
      </c>
      <c r="D26" s="10">
        <f>D21/D24</f>
        <v>0.39971035481535017</v>
      </c>
      <c r="E26" s="10"/>
      <c r="F26" s="10"/>
      <c r="G26" s="10">
        <f>G21/G24</f>
        <v>0.39971035481535017</v>
      </c>
      <c r="H26" s="3"/>
      <c r="I26" s="10">
        <f ca="1">I21/I24</f>
        <v>0.35118320810569031</v>
      </c>
      <c r="J26" s="10">
        <f t="shared" ref="J26:R26" ca="1" si="21">J21/J24</f>
        <v>0.35026737164301075</v>
      </c>
      <c r="K26" s="10">
        <f t="shared" ca="1" si="21"/>
        <v>0.3520957135054309</v>
      </c>
      <c r="L26" s="10">
        <f t="shared" ca="1" si="21"/>
        <v>0.34383812279183923</v>
      </c>
      <c r="M26" s="10">
        <f t="shared" ca="1" si="21"/>
        <v>0.34485515740599954</v>
      </c>
      <c r="N26" s="10">
        <f t="shared" ca="1" si="21"/>
        <v>0.34486581621212664</v>
      </c>
      <c r="O26" s="10">
        <f t="shared" ca="1" si="21"/>
        <v>0.34362860239378956</v>
      </c>
      <c r="P26" s="10">
        <f t="shared" ca="1" si="21"/>
        <v>0.3442156863042109</v>
      </c>
      <c r="Q26" s="10">
        <f t="shared" ca="1" si="21"/>
        <v>0.34479697649784785</v>
      </c>
      <c r="R26" s="10">
        <f t="shared" ca="1" si="21"/>
        <v>0.34550238656520871</v>
      </c>
      <c r="S26" s="35"/>
    </row>
    <row r="27" spans="1:19" x14ac:dyDescent="0.35">
      <c r="A27" s="124" t="s">
        <v>14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1:19" x14ac:dyDescent="0.35">
      <c r="B28" s="16"/>
      <c r="C28" s="16"/>
      <c r="D28" s="16"/>
      <c r="E28" s="6"/>
      <c r="F28" s="16"/>
      <c r="H28" s="98"/>
      <c r="I28" s="88"/>
      <c r="J28" s="99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35">
      <c r="A29" t="s">
        <v>17</v>
      </c>
      <c r="B29" s="19">
        <f>B6/B5</f>
        <v>0.70198719218327055</v>
      </c>
      <c r="C29" s="19">
        <f t="shared" ref="C29:D29" si="22">C6/C5</f>
        <v>0.70382165605095548</v>
      </c>
      <c r="D29" s="19">
        <f t="shared" si="22"/>
        <v>0.72473040977713887</v>
      </c>
      <c r="E29" s="6"/>
      <c r="F29" s="6"/>
      <c r="G29" s="16"/>
      <c r="H29" s="1"/>
      <c r="I29" s="21">
        <f>AVERAGE(B29:D29)</f>
        <v>0.71017975267045497</v>
      </c>
      <c r="J29" s="21">
        <f>I29</f>
        <v>0.71017975267045497</v>
      </c>
      <c r="K29" s="21">
        <f t="shared" ref="K29:R29" si="23">J29</f>
        <v>0.71017975267045497</v>
      </c>
      <c r="L29" s="21">
        <f t="shared" si="23"/>
        <v>0.71017975267045497</v>
      </c>
      <c r="M29" s="21">
        <f t="shared" si="23"/>
        <v>0.71017975267045497</v>
      </c>
      <c r="N29" s="21">
        <f t="shared" si="23"/>
        <v>0.71017975267045497</v>
      </c>
      <c r="O29" s="21">
        <f t="shared" si="23"/>
        <v>0.71017975267045497</v>
      </c>
      <c r="P29" s="21">
        <f t="shared" si="23"/>
        <v>0.71017975267045497</v>
      </c>
      <c r="Q29" s="21">
        <f t="shared" si="23"/>
        <v>0.71017975267045497</v>
      </c>
      <c r="R29" s="21">
        <f t="shared" si="23"/>
        <v>0.71017975267045497</v>
      </c>
      <c r="S29" s="20"/>
    </row>
    <row r="30" spans="1:19" x14ac:dyDescent="0.35">
      <c r="A30" t="s">
        <v>18</v>
      </c>
      <c r="B30" s="19">
        <f>B9/B5</f>
        <v>0.17099095530468078</v>
      </c>
      <c r="C30" s="19">
        <f t="shared" ref="C30:D30" si="24">C9/C5</f>
        <v>0.16582223508975102</v>
      </c>
      <c r="D30" s="19">
        <f t="shared" si="24"/>
        <v>0.14938892882818117</v>
      </c>
      <c r="E30" s="12"/>
      <c r="F30" s="12"/>
      <c r="G30" s="16"/>
      <c r="H30" s="1"/>
      <c r="I30" s="20">
        <f>D30</f>
        <v>0.14938892882818117</v>
      </c>
      <c r="J30" s="21">
        <f t="shared" ref="J30:R32" si="25">I30</f>
        <v>0.14938892882818117</v>
      </c>
      <c r="K30" s="21">
        <f t="shared" si="25"/>
        <v>0.14938892882818117</v>
      </c>
      <c r="L30" s="21">
        <f t="shared" si="25"/>
        <v>0.14938892882818117</v>
      </c>
      <c r="M30" s="21">
        <f t="shared" si="25"/>
        <v>0.14938892882818117</v>
      </c>
      <c r="N30" s="21">
        <f t="shared" si="25"/>
        <v>0.14938892882818117</v>
      </c>
      <c r="O30" s="21">
        <f t="shared" si="25"/>
        <v>0.14938892882818117</v>
      </c>
      <c r="P30" s="21">
        <f t="shared" si="25"/>
        <v>0.14938892882818117</v>
      </c>
      <c r="Q30" s="21">
        <f t="shared" si="25"/>
        <v>0.14938892882818117</v>
      </c>
      <c r="R30" s="21">
        <f t="shared" si="25"/>
        <v>0.14938892882818117</v>
      </c>
      <c r="S30" s="21"/>
    </row>
    <row r="31" spans="1:19" x14ac:dyDescent="0.35">
      <c r="A31" t="s">
        <v>123</v>
      </c>
      <c r="B31" s="19">
        <f>B10/B5</f>
        <v>5.657886050042913E-2</v>
      </c>
      <c r="C31" s="19">
        <f>C10/C5</f>
        <v>6.0799073537927045E-2</v>
      </c>
      <c r="D31" s="19">
        <f>D10/D5</f>
        <v>6.218547807332854E-2</v>
      </c>
      <c r="E31" s="12"/>
      <c r="F31" s="12"/>
      <c r="G31" s="16"/>
      <c r="H31" s="1"/>
      <c r="I31" s="20">
        <f>D31</f>
        <v>6.218547807332854E-2</v>
      </c>
      <c r="J31" s="21">
        <f t="shared" si="25"/>
        <v>6.218547807332854E-2</v>
      </c>
      <c r="K31" s="21">
        <f t="shared" si="25"/>
        <v>6.218547807332854E-2</v>
      </c>
      <c r="L31" s="21">
        <f t="shared" si="25"/>
        <v>6.218547807332854E-2</v>
      </c>
      <c r="M31" s="21">
        <f t="shared" si="25"/>
        <v>6.218547807332854E-2</v>
      </c>
      <c r="N31" s="21">
        <f t="shared" si="25"/>
        <v>6.218547807332854E-2</v>
      </c>
      <c r="O31" s="21">
        <f t="shared" si="25"/>
        <v>6.218547807332854E-2</v>
      </c>
      <c r="P31" s="21">
        <f t="shared" si="25"/>
        <v>6.218547807332854E-2</v>
      </c>
      <c r="Q31" s="21">
        <f t="shared" si="25"/>
        <v>6.218547807332854E-2</v>
      </c>
      <c r="R31" s="21">
        <f t="shared" si="25"/>
        <v>6.218547807332854E-2</v>
      </c>
      <c r="S31" s="21"/>
    </row>
    <row r="32" spans="1:19" x14ac:dyDescent="0.35">
      <c r="A32" t="s">
        <v>122</v>
      </c>
      <c r="B32" s="16">
        <f>B20/B19</f>
        <v>0.19540229885057434</v>
      </c>
      <c r="C32" s="16">
        <f>C20/C19</f>
        <v>0.2008733624454157</v>
      </c>
      <c r="D32" s="16">
        <f>D20/D19</f>
        <v>0.14551083591331304</v>
      </c>
      <c r="G32" s="16"/>
      <c r="H32" s="1"/>
      <c r="I32" s="21">
        <f>D32</f>
        <v>0.14551083591331304</v>
      </c>
      <c r="J32" s="21">
        <f t="shared" si="25"/>
        <v>0.14551083591331304</v>
      </c>
      <c r="K32" s="21">
        <f t="shared" si="25"/>
        <v>0.14551083591331304</v>
      </c>
      <c r="L32" s="21">
        <f t="shared" si="25"/>
        <v>0.14551083591331304</v>
      </c>
      <c r="M32" s="21">
        <f t="shared" si="25"/>
        <v>0.14551083591331304</v>
      </c>
      <c r="N32" s="21">
        <f t="shared" si="25"/>
        <v>0.14551083591331304</v>
      </c>
      <c r="O32" s="21">
        <f t="shared" si="25"/>
        <v>0.14551083591331304</v>
      </c>
      <c r="P32" s="21">
        <f t="shared" si="25"/>
        <v>0.14551083591331304</v>
      </c>
      <c r="Q32" s="21">
        <f t="shared" si="25"/>
        <v>0.14551083591331304</v>
      </c>
      <c r="R32" s="21">
        <f t="shared" si="25"/>
        <v>0.14551083591331304</v>
      </c>
      <c r="S32" s="20"/>
    </row>
    <row r="33" spans="1:19" ht="15" thickBot="1" x14ac:dyDescent="0.4">
      <c r="H33" s="1"/>
    </row>
    <row r="34" spans="1:19" ht="15" thickBot="1" x14ac:dyDescent="0.4">
      <c r="A34" s="121" t="s">
        <v>46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3"/>
    </row>
    <row r="36" spans="1:19" x14ac:dyDescent="0.35">
      <c r="I36">
        <f>I3</f>
        <v>2015</v>
      </c>
      <c r="J36">
        <f t="shared" ref="J36:R36" si="26">J3</f>
        <v>2016</v>
      </c>
      <c r="K36">
        <f t="shared" si="26"/>
        <v>2017</v>
      </c>
      <c r="L36">
        <f t="shared" si="26"/>
        <v>2018</v>
      </c>
      <c r="M36">
        <f t="shared" si="26"/>
        <v>2019</v>
      </c>
      <c r="N36">
        <f t="shared" si="26"/>
        <v>2020</v>
      </c>
      <c r="O36">
        <f t="shared" si="26"/>
        <v>2021</v>
      </c>
      <c r="P36">
        <f t="shared" si="26"/>
        <v>2022</v>
      </c>
      <c r="Q36">
        <f t="shared" si="26"/>
        <v>2023</v>
      </c>
      <c r="R36">
        <f t="shared" si="26"/>
        <v>2024</v>
      </c>
    </row>
    <row r="37" spans="1:19" x14ac:dyDescent="0.35">
      <c r="A37" s="4" t="s">
        <v>64</v>
      </c>
    </row>
    <row r="38" spans="1:19" x14ac:dyDescent="0.35">
      <c r="A38" t="s">
        <v>11</v>
      </c>
      <c r="I38" s="6">
        <f ca="1">I21</f>
        <v>48.49840103939583</v>
      </c>
      <c r="J38" s="6">
        <f t="shared" ref="J38:R38" ca="1" si="27">J21</f>
        <v>48.37192402389978</v>
      </c>
      <c r="K38" s="6">
        <f t="shared" ca="1" si="27"/>
        <v>48.624418035100007</v>
      </c>
      <c r="L38" s="6">
        <f t="shared" ca="1" si="27"/>
        <v>47.484044757552994</v>
      </c>
      <c r="M38" s="6">
        <f t="shared" ca="1" si="27"/>
        <v>47.62449723776853</v>
      </c>
      <c r="N38" s="6">
        <f t="shared" ca="1" si="27"/>
        <v>47.625969218894689</v>
      </c>
      <c r="O38" s="6">
        <f t="shared" ca="1" si="27"/>
        <v>47.455109990582336</v>
      </c>
      <c r="P38" s="6">
        <f t="shared" ca="1" si="27"/>
        <v>47.536186278611524</v>
      </c>
      <c r="Q38" s="6">
        <f t="shared" ca="1" si="27"/>
        <v>47.616462454352785</v>
      </c>
      <c r="R38" s="6">
        <f t="shared" ca="1" si="27"/>
        <v>47.713879584655324</v>
      </c>
      <c r="S38" s="6"/>
    </row>
    <row r="39" spans="1:19" x14ac:dyDescent="0.35">
      <c r="A39" t="s">
        <v>6</v>
      </c>
      <c r="I39" s="6">
        <f>I13</f>
        <v>41.314220706309968</v>
      </c>
      <c r="J39" s="6">
        <f t="shared" ref="J39:R39" si="28">J13</f>
        <v>42.096399127364926</v>
      </c>
      <c r="K39" s="6">
        <f t="shared" si="28"/>
        <v>42.431407453648518</v>
      </c>
      <c r="L39" s="6">
        <f t="shared" si="28"/>
        <v>44.410725034115956</v>
      </c>
      <c r="M39" s="6">
        <f t="shared" si="28"/>
        <v>45.262991046739721</v>
      </c>
      <c r="N39" s="6">
        <f t="shared" si="28"/>
        <v>46.177273678460274</v>
      </c>
      <c r="O39" s="6">
        <f t="shared" si="28"/>
        <v>47.303890015099896</v>
      </c>
      <c r="P39" s="6">
        <f t="shared" si="28"/>
        <v>48.146109903375915</v>
      </c>
      <c r="Q39" s="6">
        <f t="shared" si="28"/>
        <v>48.999708264204969</v>
      </c>
      <c r="R39" s="6">
        <f t="shared" si="28"/>
        <v>49.843790655265636</v>
      </c>
      <c r="S39" s="6"/>
    </row>
    <row r="40" spans="1:19" x14ac:dyDescent="0.35">
      <c r="A40" t="s">
        <v>34</v>
      </c>
      <c r="I40" s="6">
        <f>-'WK Cap'!F21</f>
        <v>6.5102790875601215</v>
      </c>
      <c r="J40" s="6">
        <f>-'WK Cap'!G21</f>
        <v>-0.46038297709480958</v>
      </c>
      <c r="K40" s="6">
        <f>-'WK Cap'!H21</f>
        <v>-0.4727574683628859</v>
      </c>
      <c r="L40" s="6">
        <f>-'WK Cap'!I21</f>
        <v>-0.48522739626494626</v>
      </c>
      <c r="M40" s="6">
        <f>-'WK Cap'!J21</f>
        <v>-0.87320915298730029</v>
      </c>
      <c r="N40" s="6">
        <f>-'WK Cap'!K21</f>
        <v>-0.76544836610949574</v>
      </c>
      <c r="O40" s="6">
        <f>-'WK Cap'!L21</f>
        <v>-0.77338123574060091</v>
      </c>
      <c r="P40" s="6">
        <f>-'WK Cap'!M21</f>
        <v>-0.78139222919332951</v>
      </c>
      <c r="Q40" s="6">
        <f>-'WK Cap'!N21</f>
        <v>-0.78948218338740617</v>
      </c>
      <c r="R40" s="6">
        <f>-'WK Cap'!O21</f>
        <v>-0.79765194398501649</v>
      </c>
      <c r="S40" s="6"/>
    </row>
    <row r="42" spans="1:19" x14ac:dyDescent="0.35">
      <c r="A42" s="4" t="s">
        <v>65</v>
      </c>
      <c r="I42" s="32">
        <f ca="1">SUM(I38:I40)</f>
        <v>96.322900833265919</v>
      </c>
      <c r="J42" s="32">
        <f t="shared" ref="J42:R42" ca="1" si="29">SUM(J38:J40)</f>
        <v>90.007940174169903</v>
      </c>
      <c r="K42" s="32">
        <f t="shared" ca="1" si="29"/>
        <v>90.583068020385639</v>
      </c>
      <c r="L42" s="32">
        <f t="shared" ca="1" si="29"/>
        <v>91.409542395404003</v>
      </c>
      <c r="M42" s="32">
        <f t="shared" ca="1" si="29"/>
        <v>92.014279131520951</v>
      </c>
      <c r="N42" s="32">
        <f t="shared" ca="1" si="29"/>
        <v>93.037794531245467</v>
      </c>
      <c r="O42" s="32">
        <f t="shared" ca="1" si="29"/>
        <v>93.985618769941624</v>
      </c>
      <c r="P42" s="32">
        <f t="shared" ca="1" si="29"/>
        <v>94.90090395279411</v>
      </c>
      <c r="Q42" s="32">
        <f t="shared" ca="1" si="29"/>
        <v>95.826688535170348</v>
      </c>
      <c r="R42" s="32">
        <f t="shared" ca="1" si="29"/>
        <v>96.760018295935936</v>
      </c>
      <c r="S42" s="32"/>
    </row>
    <row r="43" spans="1:19" x14ac:dyDescent="0.35">
      <c r="I43" s="100"/>
      <c r="J43" s="100"/>
      <c r="K43" s="100"/>
      <c r="L43" s="100"/>
      <c r="M43" s="100"/>
      <c r="N43" s="100"/>
      <c r="O43" s="100"/>
      <c r="P43" s="100"/>
      <c r="Q43" s="100"/>
      <c r="R43" s="100"/>
    </row>
    <row r="44" spans="1:19" x14ac:dyDescent="0.35">
      <c r="A44" s="4" t="s">
        <v>47</v>
      </c>
    </row>
    <row r="45" spans="1:19" x14ac:dyDescent="0.35">
      <c r="A45" t="s">
        <v>31</v>
      </c>
      <c r="I45" s="6">
        <f>-'D&amp;A'!E28</f>
        <v>-54.014986361987503</v>
      </c>
      <c r="J45" s="6">
        <f>-'D&amp;A'!F28</f>
        <v>-54.23468458218457</v>
      </c>
      <c r="K45" s="6">
        <f>-'D&amp;A'!G28</f>
        <v>-54.460288002709845</v>
      </c>
      <c r="L45" s="6">
        <f>-'D&amp;A'!H28</f>
        <v>-54.691842166643085</v>
      </c>
      <c r="M45" s="6">
        <f>-'D&amp;A'!I28</f>
        <v>-55.10854414372681</v>
      </c>
      <c r="N45" s="6">
        <f>-'D&amp;A'!J28</f>
        <v>-55.473821862612581</v>
      </c>
      <c r="O45" s="6">
        <f>-'D&amp;A'!K28</f>
        <v>-55.842885206566407</v>
      </c>
      <c r="P45" s="6">
        <f>-'D&amp;A'!L28</f>
        <v>-56.215771456863713</v>
      </c>
      <c r="Q45" s="6">
        <f>-'D&amp;A'!M28</f>
        <v>-56.592518294164371</v>
      </c>
      <c r="R45" s="6">
        <f>-'D&amp;A'!N28</f>
        <v>-56.973163802684454</v>
      </c>
      <c r="S45" s="6"/>
    </row>
    <row r="47" spans="1:19" x14ac:dyDescent="0.35">
      <c r="A47" s="4" t="s">
        <v>66</v>
      </c>
      <c r="I47" s="32">
        <f>I45</f>
        <v>-54.014986361987503</v>
      </c>
      <c r="J47" s="32">
        <f t="shared" ref="J47:R47" si="30">J45</f>
        <v>-54.23468458218457</v>
      </c>
      <c r="K47" s="32">
        <f t="shared" si="30"/>
        <v>-54.460288002709845</v>
      </c>
      <c r="L47" s="32">
        <f t="shared" si="30"/>
        <v>-54.691842166643085</v>
      </c>
      <c r="M47" s="32">
        <f t="shared" si="30"/>
        <v>-55.10854414372681</v>
      </c>
      <c r="N47" s="32">
        <f t="shared" si="30"/>
        <v>-55.473821862612581</v>
      </c>
      <c r="O47" s="32">
        <f t="shared" si="30"/>
        <v>-55.842885206566407</v>
      </c>
      <c r="P47" s="32">
        <f t="shared" si="30"/>
        <v>-56.215771456863713</v>
      </c>
      <c r="Q47" s="32">
        <f t="shared" si="30"/>
        <v>-56.592518294164371</v>
      </c>
      <c r="R47" s="32">
        <f t="shared" si="30"/>
        <v>-56.973163802684454</v>
      </c>
      <c r="S47" s="6"/>
    </row>
    <row r="49" spans="1:21" x14ac:dyDescent="0.35">
      <c r="A49" s="4" t="s">
        <v>48</v>
      </c>
    </row>
    <row r="50" spans="1:21" x14ac:dyDescent="0.35">
      <c r="A50" t="s">
        <v>49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21" x14ac:dyDescent="0.35">
      <c r="A51" t="s">
        <v>67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21" x14ac:dyDescent="0.35">
      <c r="A52" t="s">
        <v>68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21" x14ac:dyDescent="0.35">
      <c r="A53" t="s">
        <v>69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21" x14ac:dyDescent="0.35">
      <c r="A54" t="s">
        <v>70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6" spans="1:21" x14ac:dyDescent="0.35">
      <c r="A56" s="4" t="s">
        <v>71</v>
      </c>
      <c r="I56" s="6">
        <f>SUM(I50:I54)</f>
        <v>0</v>
      </c>
      <c r="J56" s="6">
        <f t="shared" ref="J56:R56" si="31">SUM(J50:J54)</f>
        <v>0</v>
      </c>
      <c r="K56" s="6">
        <f t="shared" si="31"/>
        <v>0</v>
      </c>
      <c r="L56" s="6">
        <f t="shared" si="31"/>
        <v>0</v>
      </c>
      <c r="M56" s="6">
        <f t="shared" si="31"/>
        <v>0</v>
      </c>
      <c r="N56" s="6">
        <f t="shared" si="31"/>
        <v>0</v>
      </c>
      <c r="O56" s="6">
        <f t="shared" si="31"/>
        <v>0</v>
      </c>
      <c r="P56" s="6">
        <f t="shared" si="31"/>
        <v>0</v>
      </c>
      <c r="Q56" s="6">
        <f t="shared" si="31"/>
        <v>0</v>
      </c>
      <c r="R56" s="6">
        <f t="shared" si="31"/>
        <v>0</v>
      </c>
      <c r="S56" s="6"/>
    </row>
    <row r="58" spans="1:21" x14ac:dyDescent="0.35">
      <c r="A58" t="s">
        <v>72</v>
      </c>
      <c r="I58" s="6">
        <f ca="1">I42+I47+I56</f>
        <v>42.307914471278416</v>
      </c>
      <c r="J58" s="6">
        <f t="shared" ref="J58:R58" ca="1" si="32">J42+J47+J56</f>
        <v>35.773255591985333</v>
      </c>
      <c r="K58" s="6">
        <f t="shared" ca="1" si="32"/>
        <v>36.122780017675794</v>
      </c>
      <c r="L58" s="6">
        <f t="shared" ca="1" si="32"/>
        <v>36.717700228760918</v>
      </c>
      <c r="M58" s="6">
        <f t="shared" ca="1" si="32"/>
        <v>36.905734987794141</v>
      </c>
      <c r="N58" s="6">
        <f t="shared" ca="1" si="32"/>
        <v>37.563972668632886</v>
      </c>
      <c r="O58" s="6">
        <f t="shared" ca="1" si="32"/>
        <v>38.142733563375216</v>
      </c>
      <c r="P58" s="6">
        <f t="shared" ca="1" si="32"/>
        <v>38.685132495930397</v>
      </c>
      <c r="Q58" s="6">
        <f t="shared" ca="1" si="32"/>
        <v>39.234170241005977</v>
      </c>
      <c r="R58" s="6">
        <f t="shared" ca="1" si="32"/>
        <v>39.786854493251482</v>
      </c>
      <c r="S58" s="6"/>
    </row>
    <row r="59" spans="1:21" x14ac:dyDescent="0.35">
      <c r="A59" t="s">
        <v>73</v>
      </c>
      <c r="I59" s="12">
        <f>BS!D19</f>
        <v>67.3</v>
      </c>
      <c r="J59" s="6">
        <f ca="1">I60</f>
        <v>109.60791447127841</v>
      </c>
      <c r="K59" s="6">
        <f t="shared" ref="K59:R59" ca="1" si="33">J60</f>
        <v>145.38117006326374</v>
      </c>
      <c r="L59" s="6">
        <f t="shared" ca="1" si="33"/>
        <v>181.50395008093955</v>
      </c>
      <c r="M59" s="6">
        <f t="shared" ca="1" si="33"/>
        <v>218.22165030970046</v>
      </c>
      <c r="N59" s="6">
        <f t="shared" ca="1" si="33"/>
        <v>255.12738529749461</v>
      </c>
      <c r="O59" s="6">
        <f t="shared" ca="1" si="33"/>
        <v>292.6913579661275</v>
      </c>
      <c r="P59" s="6">
        <f t="shared" ca="1" si="33"/>
        <v>330.8340915295027</v>
      </c>
      <c r="Q59" s="6">
        <f t="shared" ca="1" si="33"/>
        <v>369.51922402543312</v>
      </c>
      <c r="R59" s="6">
        <f t="shared" ca="1" si="33"/>
        <v>408.7533942664391</v>
      </c>
      <c r="S59" s="6"/>
    </row>
    <row r="60" spans="1:21" x14ac:dyDescent="0.35">
      <c r="A60" t="s">
        <v>74</v>
      </c>
      <c r="I60" s="6">
        <f ca="1">SUM(I58:I59)</f>
        <v>109.60791447127841</v>
      </c>
      <c r="J60" s="6">
        <f t="shared" ref="J60:R60" ca="1" si="34">SUM(J58:J59)</f>
        <v>145.38117006326374</v>
      </c>
      <c r="K60" s="6">
        <f t="shared" ca="1" si="34"/>
        <v>181.50395008093955</v>
      </c>
      <c r="L60" s="6">
        <f t="shared" ca="1" si="34"/>
        <v>218.22165030970046</v>
      </c>
      <c r="M60" s="6">
        <f t="shared" ca="1" si="34"/>
        <v>255.12738529749461</v>
      </c>
      <c r="N60" s="6">
        <f t="shared" ca="1" si="34"/>
        <v>292.6913579661275</v>
      </c>
      <c r="O60" s="6">
        <f t="shared" ca="1" si="34"/>
        <v>330.8340915295027</v>
      </c>
      <c r="P60" s="6">
        <f t="shared" ca="1" si="34"/>
        <v>369.51922402543312</v>
      </c>
      <c r="Q60" s="6">
        <f t="shared" ca="1" si="34"/>
        <v>408.7533942664391</v>
      </c>
      <c r="R60" s="6">
        <f t="shared" ca="1" si="34"/>
        <v>448.5402487596906</v>
      </c>
      <c r="S60" s="6"/>
      <c r="U60" s="6">
        <f>T61</f>
        <v>0</v>
      </c>
    </row>
  </sheetData>
  <mergeCells count="3">
    <mergeCell ref="A34:R34"/>
    <mergeCell ref="A27:R27"/>
    <mergeCell ref="A1:R1"/>
  </mergeCells>
  <pageMargins left="0.7" right="0.7" top="0.75" bottom="0.75" header="0.3" footer="0.3"/>
  <pageSetup paperSize="9" orientation="portrait" r:id="rId1"/>
  <ignoredErrors>
    <ignoredError sqref="G19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49"/>
  <sheetViews>
    <sheetView workbookViewId="0">
      <selection activeCell="E51" sqref="E51"/>
    </sheetView>
  </sheetViews>
  <sheetFormatPr defaultRowHeight="14.5" x14ac:dyDescent="0.35"/>
  <cols>
    <col min="1" max="1" width="45.1796875" bestFit="1" customWidth="1"/>
    <col min="2" max="2" width="10" bestFit="1" customWidth="1"/>
    <col min="3" max="4" width="9.54296875" bestFit="1" customWidth="1"/>
    <col min="5" max="14" width="10" bestFit="1" customWidth="1"/>
  </cols>
  <sheetData>
    <row r="1" spans="1:14" x14ac:dyDescent="0.35">
      <c r="A1" s="117" t="s">
        <v>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37"/>
    </row>
    <row r="2" spans="1:14" x14ac:dyDescent="0.35">
      <c r="A2" t="str">
        <f>'IS-CF'!A2</f>
        <v>All numbers are in millions of £</v>
      </c>
    </row>
    <row r="3" spans="1:14" x14ac:dyDescent="0.35">
      <c r="B3" s="101">
        <v>2012</v>
      </c>
      <c r="C3" s="4">
        <f t="shared" ref="C3:H3" si="0">B3+1</f>
        <v>2013</v>
      </c>
      <c r="D3" s="4">
        <f t="shared" si="0"/>
        <v>2014</v>
      </c>
      <c r="E3" s="4">
        <f t="shared" si="0"/>
        <v>2015</v>
      </c>
      <c r="F3" s="4">
        <f t="shared" si="0"/>
        <v>2016</v>
      </c>
      <c r="G3" s="4">
        <f t="shared" si="0"/>
        <v>2017</v>
      </c>
      <c r="H3" s="4">
        <f t="shared" si="0"/>
        <v>2018</v>
      </c>
      <c r="I3" s="4">
        <f t="shared" ref="I3:N3" si="1">H3+1</f>
        <v>2019</v>
      </c>
      <c r="J3" s="4">
        <f t="shared" si="1"/>
        <v>2020</v>
      </c>
      <c r="K3" s="4">
        <f t="shared" si="1"/>
        <v>2021</v>
      </c>
      <c r="L3" s="4">
        <f t="shared" si="1"/>
        <v>2022</v>
      </c>
      <c r="M3" s="4">
        <f t="shared" si="1"/>
        <v>2023</v>
      </c>
      <c r="N3" s="4">
        <f t="shared" si="1"/>
        <v>2024</v>
      </c>
    </row>
    <row r="4" spans="1:14" x14ac:dyDescent="0.35">
      <c r="A4" s="4" t="s">
        <v>20</v>
      </c>
    </row>
    <row r="5" spans="1:14" x14ac:dyDescent="0.35">
      <c r="A5" s="4" t="s">
        <v>75</v>
      </c>
    </row>
    <row r="6" spans="1:14" x14ac:dyDescent="0.35">
      <c r="A6" t="s">
        <v>21</v>
      </c>
      <c r="B6" s="29">
        <v>282.89999999999998</v>
      </c>
      <c r="C6" s="29">
        <v>270.3</v>
      </c>
      <c r="D6" s="29">
        <v>288.60000000000002</v>
      </c>
      <c r="E6" s="12">
        <f>'D&amp;A'!E15</f>
        <v>302.7552495451078</v>
      </c>
      <c r="F6" s="12">
        <f>'D&amp;A'!F15</f>
        <v>316.07517657799792</v>
      </c>
      <c r="G6" s="12">
        <f>'D&amp;A'!G15</f>
        <v>328.61589194266048</v>
      </c>
      <c r="H6" s="12">
        <f>'D&amp;A'!H15</f>
        <v>339.60202205031408</v>
      </c>
      <c r="I6" s="12">
        <f>'D&amp;A'!I15</f>
        <v>349.95607241899</v>
      </c>
      <c r="J6" s="12">
        <f>'D&amp;A'!J15</f>
        <v>359.58794867969726</v>
      </c>
      <c r="K6" s="12">
        <f>'D&amp;A'!K15</f>
        <v>368.4378889451537</v>
      </c>
      <c r="L6" s="12">
        <f>'D&amp;A'!L15</f>
        <v>376.72401676308061</v>
      </c>
      <c r="M6" s="12">
        <f>'D&amp;A'!M15</f>
        <v>384.46446972041122</v>
      </c>
      <c r="N6" s="12">
        <f>'D&amp;A'!N15</f>
        <v>391.70186449158956</v>
      </c>
    </row>
    <row r="7" spans="1:14" x14ac:dyDescent="0.35">
      <c r="A7" t="s">
        <v>22</v>
      </c>
      <c r="B7" s="29">
        <v>260</v>
      </c>
      <c r="C7" s="29">
        <v>74.3</v>
      </c>
      <c r="D7" s="29">
        <v>74.3</v>
      </c>
      <c r="E7" s="12">
        <f>D7</f>
        <v>74.3</v>
      </c>
      <c r="F7" s="12">
        <f t="shared" ref="F7:N7" si="2">E7</f>
        <v>74.3</v>
      </c>
      <c r="G7" s="12">
        <f t="shared" si="2"/>
        <v>74.3</v>
      </c>
      <c r="H7" s="12">
        <f t="shared" si="2"/>
        <v>74.3</v>
      </c>
      <c r="I7" s="12">
        <f t="shared" si="2"/>
        <v>74.3</v>
      </c>
      <c r="J7" s="12">
        <f t="shared" si="2"/>
        <v>74.3</v>
      </c>
      <c r="K7" s="12">
        <f t="shared" si="2"/>
        <v>74.3</v>
      </c>
      <c r="L7" s="12">
        <f t="shared" si="2"/>
        <v>74.3</v>
      </c>
      <c r="M7" s="12">
        <f t="shared" si="2"/>
        <v>74.3</v>
      </c>
      <c r="N7" s="12">
        <f t="shared" si="2"/>
        <v>74.3</v>
      </c>
    </row>
    <row r="8" spans="1:14" x14ac:dyDescent="0.35">
      <c r="A8" t="s">
        <v>23</v>
      </c>
      <c r="B8" s="29">
        <v>170.5</v>
      </c>
      <c r="C8" s="29">
        <v>30.5</v>
      </c>
      <c r="D8" s="29">
        <v>27.9</v>
      </c>
      <c r="E8" s="12">
        <f>'D&amp;A'!E26</f>
        <v>26.445516110569788</v>
      </c>
      <c r="F8" s="12">
        <f>'D&amp;A'!F26</f>
        <v>25.263874532499315</v>
      </c>
      <c r="G8" s="12">
        <f>'D&amp;A'!G26</f>
        <v>24.752039716898093</v>
      </c>
      <c r="H8" s="12">
        <f>'D&amp;A'!H26</f>
        <v>24.047026741771592</v>
      </c>
      <c r="I8" s="12">
        <f>'D&amp;A'!I26</f>
        <v>23.53852947008275</v>
      </c>
      <c r="J8" s="12">
        <f>'D&amp;A'!J26</f>
        <v>23.203201393527777</v>
      </c>
      <c r="K8" s="12">
        <f>'D&amp;A'!K26</f>
        <v>22.892256319537836</v>
      </c>
      <c r="L8" s="12">
        <f>'D&amp;A'!L26</f>
        <v>22.675790055098727</v>
      </c>
      <c r="M8" s="12">
        <f>'D&amp;A'!M26</f>
        <v>22.528147127727529</v>
      </c>
      <c r="N8" s="12">
        <f>'D&amp;A'!N26</f>
        <v>22.420125503968052</v>
      </c>
    </row>
    <row r="9" spans="1:14" x14ac:dyDescent="0.35">
      <c r="A9" t="s">
        <v>24</v>
      </c>
      <c r="B9" s="29">
        <v>0</v>
      </c>
      <c r="C9" s="29">
        <v>0.3</v>
      </c>
      <c r="D9" s="29">
        <v>0.3</v>
      </c>
      <c r="E9" s="12">
        <f>D9</f>
        <v>0.3</v>
      </c>
      <c r="F9" s="12">
        <f t="shared" ref="F9:N9" si="3">E9</f>
        <v>0.3</v>
      </c>
      <c r="G9" s="12">
        <f t="shared" si="3"/>
        <v>0.3</v>
      </c>
      <c r="H9" s="12">
        <f t="shared" si="3"/>
        <v>0.3</v>
      </c>
      <c r="I9" s="12">
        <f t="shared" si="3"/>
        <v>0.3</v>
      </c>
      <c r="J9" s="12">
        <f t="shared" si="3"/>
        <v>0.3</v>
      </c>
      <c r="K9" s="12">
        <f t="shared" si="3"/>
        <v>0.3</v>
      </c>
      <c r="L9" s="12">
        <f t="shared" si="3"/>
        <v>0.3</v>
      </c>
      <c r="M9" s="12">
        <f t="shared" si="3"/>
        <v>0.3</v>
      </c>
      <c r="N9" s="12">
        <f t="shared" si="3"/>
        <v>0.3</v>
      </c>
    </row>
    <row r="10" spans="1:14" x14ac:dyDescent="0.35">
      <c r="A10" t="s">
        <v>76</v>
      </c>
      <c r="B10" s="29">
        <v>0.5</v>
      </c>
      <c r="C10" s="29">
        <v>0.5</v>
      </c>
      <c r="D10" s="29">
        <v>0.8</v>
      </c>
      <c r="E10" s="12">
        <f>D10</f>
        <v>0.8</v>
      </c>
      <c r="F10" s="12">
        <f t="shared" ref="F10:N10" si="4">E10</f>
        <v>0.8</v>
      </c>
      <c r="G10" s="12">
        <f t="shared" si="4"/>
        <v>0.8</v>
      </c>
      <c r="H10" s="12">
        <f t="shared" si="4"/>
        <v>0.8</v>
      </c>
      <c r="I10" s="12">
        <f t="shared" si="4"/>
        <v>0.8</v>
      </c>
      <c r="J10" s="12">
        <f t="shared" si="4"/>
        <v>0.8</v>
      </c>
      <c r="K10" s="12">
        <f t="shared" si="4"/>
        <v>0.8</v>
      </c>
      <c r="L10" s="12">
        <f t="shared" si="4"/>
        <v>0.8</v>
      </c>
      <c r="M10" s="12">
        <f t="shared" si="4"/>
        <v>0.8</v>
      </c>
      <c r="N10" s="12">
        <f t="shared" si="4"/>
        <v>0.8</v>
      </c>
    </row>
    <row r="11" spans="1:14" x14ac:dyDescent="0.35">
      <c r="A11" t="s">
        <v>29</v>
      </c>
      <c r="B11" s="29">
        <v>1.3</v>
      </c>
      <c r="C11" s="29">
        <v>1.4</v>
      </c>
      <c r="D11" s="29">
        <v>1.4</v>
      </c>
      <c r="E11" s="12">
        <f>D11</f>
        <v>1.4</v>
      </c>
      <c r="F11" s="12">
        <f t="shared" ref="F11:N11" si="5">E11</f>
        <v>1.4</v>
      </c>
      <c r="G11" s="12">
        <f t="shared" si="5"/>
        <v>1.4</v>
      </c>
      <c r="H11" s="12">
        <f t="shared" si="5"/>
        <v>1.4</v>
      </c>
      <c r="I11" s="12">
        <f t="shared" si="5"/>
        <v>1.4</v>
      </c>
      <c r="J11" s="12">
        <f t="shared" si="5"/>
        <v>1.4</v>
      </c>
      <c r="K11" s="12">
        <f t="shared" si="5"/>
        <v>1.4</v>
      </c>
      <c r="L11" s="12">
        <f t="shared" si="5"/>
        <v>1.4</v>
      </c>
      <c r="M11" s="12">
        <f t="shared" si="5"/>
        <v>1.4</v>
      </c>
      <c r="N11" s="12">
        <f t="shared" si="5"/>
        <v>1.4</v>
      </c>
    </row>
    <row r="12" spans="1:14" x14ac:dyDescent="0.35">
      <c r="A12" t="s">
        <v>77</v>
      </c>
      <c r="B12" s="29">
        <v>16.600000000000001</v>
      </c>
      <c r="C12" s="29">
        <v>14.5</v>
      </c>
      <c r="D12" s="29">
        <v>7</v>
      </c>
      <c r="E12" s="12">
        <f>D12</f>
        <v>7</v>
      </c>
      <c r="F12" s="12">
        <f t="shared" ref="F12:N12" si="6">E12</f>
        <v>7</v>
      </c>
      <c r="G12" s="12">
        <f t="shared" si="6"/>
        <v>7</v>
      </c>
      <c r="H12" s="12">
        <f t="shared" si="6"/>
        <v>7</v>
      </c>
      <c r="I12" s="12">
        <f t="shared" si="6"/>
        <v>7</v>
      </c>
      <c r="J12" s="12">
        <f t="shared" si="6"/>
        <v>7</v>
      </c>
      <c r="K12" s="12">
        <f t="shared" si="6"/>
        <v>7</v>
      </c>
      <c r="L12" s="12">
        <f t="shared" si="6"/>
        <v>7</v>
      </c>
      <c r="M12" s="12">
        <f t="shared" si="6"/>
        <v>7</v>
      </c>
      <c r="N12" s="12">
        <f t="shared" si="6"/>
        <v>7</v>
      </c>
    </row>
    <row r="13" spans="1:14" x14ac:dyDescent="0.35">
      <c r="A13" s="4" t="s">
        <v>78</v>
      </c>
      <c r="B13" s="13">
        <f>SUM(B6:B12)</f>
        <v>731.8</v>
      </c>
      <c r="C13" s="13">
        <f>SUM(C6:C12)</f>
        <v>391.8</v>
      </c>
      <c r="D13" s="13">
        <f>SUM(D6:D12)</f>
        <v>400.3</v>
      </c>
      <c r="E13" s="13">
        <f>SUM(E6:E12)</f>
        <v>413.00076565567758</v>
      </c>
      <c r="F13" s="13">
        <f t="shared" ref="F13:N13" si="7">SUM(F6:F12)</f>
        <v>425.13905111049723</v>
      </c>
      <c r="G13" s="13">
        <f t="shared" si="7"/>
        <v>437.16793165955858</v>
      </c>
      <c r="H13" s="13">
        <f t="shared" si="7"/>
        <v>447.4490487920857</v>
      </c>
      <c r="I13" s="13">
        <f t="shared" si="7"/>
        <v>457.29460188907274</v>
      </c>
      <c r="J13" s="13">
        <f t="shared" si="7"/>
        <v>466.59115007322504</v>
      </c>
      <c r="K13" s="13">
        <f t="shared" si="7"/>
        <v>475.13014526469158</v>
      </c>
      <c r="L13" s="13">
        <f t="shared" si="7"/>
        <v>483.19980681817935</v>
      </c>
      <c r="M13" s="13">
        <f t="shared" si="7"/>
        <v>490.79261684813878</v>
      </c>
      <c r="N13" s="13">
        <f t="shared" si="7"/>
        <v>497.92198999555762</v>
      </c>
    </row>
    <row r="14" spans="1:14" x14ac:dyDescent="0.35">
      <c r="B14" s="12"/>
      <c r="C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35">
      <c r="A15" s="4" t="s">
        <v>79</v>
      </c>
      <c r="B15" s="12"/>
      <c r="C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35">
      <c r="A16" t="s">
        <v>25</v>
      </c>
      <c r="B16" s="29">
        <v>187.8</v>
      </c>
      <c r="C16" s="29">
        <v>208.2</v>
      </c>
      <c r="D16" s="29">
        <v>219.6</v>
      </c>
      <c r="E16" s="12">
        <f>'WK Cap'!F8</f>
        <v>213.37775775074076</v>
      </c>
      <c r="F16" s="12">
        <f>'WK Cap'!G8</f>
        <v>214.24564121725345</v>
      </c>
      <c r="G16" s="12">
        <f>'WK Cap'!H8</f>
        <v>215.13685225431595</v>
      </c>
      <c r="H16" s="12">
        <f>'WK Cap'!I8</f>
        <v>216.05157077274347</v>
      </c>
      <c r="I16" s="12">
        <f>'WK Cap'!J8</f>
        <v>217.69768677700486</v>
      </c>
      <c r="J16" s="12">
        <f>'WK Cap'!K8</f>
        <v>219.14065929003692</v>
      </c>
      <c r="K16" s="12">
        <f>'WK Cap'!L8</f>
        <v>220.59858632297377</v>
      </c>
      <c r="L16" s="12">
        <f>'WK Cap'!M8</f>
        <v>222.07161514966464</v>
      </c>
      <c r="M16" s="12">
        <f>'WK Cap'!N8</f>
        <v>223.55989462166445</v>
      </c>
      <c r="N16" s="12">
        <f>'WK Cap'!O8</f>
        <v>225.06357518471404</v>
      </c>
    </row>
    <row r="17" spans="1:15" x14ac:dyDescent="0.35">
      <c r="A17" t="s">
        <v>80</v>
      </c>
      <c r="B17" s="29">
        <v>131.5</v>
      </c>
      <c r="C17" s="29">
        <v>98.8</v>
      </c>
      <c r="D17" s="29">
        <v>118.4</v>
      </c>
      <c r="E17" s="12">
        <f>'WK Cap'!F9</f>
        <v>111.92655567985358</v>
      </c>
      <c r="F17" s="12">
        <f>'WK Cap'!G9</f>
        <v>112.38180091329411</v>
      </c>
      <c r="G17" s="12">
        <f>'WK Cap'!H9</f>
        <v>112.84928254218441</v>
      </c>
      <c r="H17" s="12">
        <f>'WK Cap'!I9</f>
        <v>113.32909493811262</v>
      </c>
      <c r="I17" s="12">
        <f>'WK Cap'!J9</f>
        <v>114.19255932422583</v>
      </c>
      <c r="J17" s="12">
        <f>'WK Cap'!K9</f>
        <v>114.94946550332745</v>
      </c>
      <c r="K17" s="12">
        <f>'WK Cap'!L9</f>
        <v>115.71421602348144</v>
      </c>
      <c r="L17" s="12">
        <f>'WK Cap'!M9</f>
        <v>116.48688813666971</v>
      </c>
      <c r="M17" s="12">
        <f>'WK Cap'!N9</f>
        <v>117.26755992245427</v>
      </c>
      <c r="N17" s="12">
        <f>'WK Cap'!O9</f>
        <v>118.05631029662158</v>
      </c>
    </row>
    <row r="18" spans="1:15" x14ac:dyDescent="0.35">
      <c r="A18" t="s">
        <v>77</v>
      </c>
      <c r="B18" s="29">
        <v>0.3</v>
      </c>
      <c r="C18" s="29">
        <v>9.6</v>
      </c>
      <c r="D18" s="29">
        <v>0.4</v>
      </c>
      <c r="E18" s="12">
        <f>D18</f>
        <v>0.4</v>
      </c>
      <c r="F18" s="12">
        <f t="shared" ref="F18:N18" si="8">E18</f>
        <v>0.4</v>
      </c>
      <c r="G18" s="12">
        <f t="shared" si="8"/>
        <v>0.4</v>
      </c>
      <c r="H18" s="12">
        <f t="shared" si="8"/>
        <v>0.4</v>
      </c>
      <c r="I18" s="12">
        <f t="shared" si="8"/>
        <v>0.4</v>
      </c>
      <c r="J18" s="12">
        <f t="shared" si="8"/>
        <v>0.4</v>
      </c>
      <c r="K18" s="12">
        <f t="shared" si="8"/>
        <v>0.4</v>
      </c>
      <c r="L18" s="12">
        <f t="shared" si="8"/>
        <v>0.4</v>
      </c>
      <c r="M18" s="12">
        <f t="shared" si="8"/>
        <v>0.4</v>
      </c>
      <c r="N18" s="12">
        <f t="shared" si="8"/>
        <v>0.4</v>
      </c>
      <c r="O18" s="12"/>
    </row>
    <row r="19" spans="1:15" x14ac:dyDescent="0.35">
      <c r="A19" t="s">
        <v>81</v>
      </c>
      <c r="B19" s="29">
        <v>79.400000000000006</v>
      </c>
      <c r="C19" s="29">
        <v>276.10000000000002</v>
      </c>
      <c r="D19" s="29">
        <v>67.3</v>
      </c>
      <c r="E19" s="12">
        <f ca="1">'IS-CF'!I60</f>
        <v>109.60791447127841</v>
      </c>
      <c r="F19" s="12">
        <f ca="1">'IS-CF'!J60</f>
        <v>145.38117006326374</v>
      </c>
      <c r="G19" s="12">
        <f ca="1">'IS-CF'!K60</f>
        <v>181.50395008093955</v>
      </c>
      <c r="H19" s="12">
        <f ca="1">'IS-CF'!L60</f>
        <v>218.22165030970046</v>
      </c>
      <c r="I19" s="12">
        <f ca="1">'IS-CF'!M60</f>
        <v>255.12738529749461</v>
      </c>
      <c r="J19" s="12">
        <f ca="1">'IS-CF'!N60</f>
        <v>292.6913579661275</v>
      </c>
      <c r="K19" s="12">
        <f ca="1">'IS-CF'!O60</f>
        <v>330.8340915295027</v>
      </c>
      <c r="L19" s="12">
        <f ca="1">'IS-CF'!P60</f>
        <v>369.51922402543312</v>
      </c>
      <c r="M19" s="12">
        <f ca="1">'IS-CF'!Q60</f>
        <v>408.7533942664391</v>
      </c>
      <c r="N19" s="12">
        <f ca="1">'IS-CF'!R60</f>
        <v>448.5402487596906</v>
      </c>
      <c r="O19" s="12"/>
    </row>
    <row r="20" spans="1:15" x14ac:dyDescent="0.35">
      <c r="A20" s="4" t="s">
        <v>82</v>
      </c>
      <c r="B20" s="13">
        <f>SUM(B16:B19)</f>
        <v>399</v>
      </c>
      <c r="C20" s="13">
        <f>SUM(C16:C19)</f>
        <v>592.70000000000005</v>
      </c>
      <c r="D20" s="13">
        <f>SUM(D16:D19)</f>
        <v>405.7</v>
      </c>
      <c r="E20" s="13">
        <f ca="1">SUM(E16:E19)</f>
        <v>435.31222790187269</v>
      </c>
      <c r="F20" s="13">
        <f t="shared" ref="F20:N20" ca="1" si="9">SUM(F16:F19)</f>
        <v>472.40861219381134</v>
      </c>
      <c r="G20" s="13">
        <f t="shared" ca="1" si="9"/>
        <v>509.8900848774399</v>
      </c>
      <c r="H20" s="13">
        <f t="shared" ca="1" si="9"/>
        <v>548.00231602055646</v>
      </c>
      <c r="I20" s="13">
        <f t="shared" ca="1" si="9"/>
        <v>587.41763139872523</v>
      </c>
      <c r="J20" s="13">
        <f t="shared" ca="1" si="9"/>
        <v>627.18148275949181</v>
      </c>
      <c r="K20" s="13">
        <f t="shared" ca="1" si="9"/>
        <v>667.54689387595795</v>
      </c>
      <c r="L20" s="13">
        <f t="shared" ca="1" si="9"/>
        <v>708.47772731176747</v>
      </c>
      <c r="M20" s="13">
        <f t="shared" ca="1" si="9"/>
        <v>749.98084881055775</v>
      </c>
      <c r="N20" s="13">
        <f t="shared" ca="1" si="9"/>
        <v>792.06013424102616</v>
      </c>
    </row>
    <row r="21" spans="1:15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5" x14ac:dyDescent="0.35">
      <c r="A22" t="s">
        <v>83</v>
      </c>
      <c r="B22" s="29">
        <v>0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5" x14ac:dyDescent="0.35">
      <c r="A23" s="4" t="s">
        <v>84</v>
      </c>
      <c r="B23" s="13">
        <f>B22+B20+B13</f>
        <v>1130.8</v>
      </c>
      <c r="C23" s="13">
        <f>C22+C20+C13</f>
        <v>984.5</v>
      </c>
      <c r="D23" s="13">
        <f>D20+D13</f>
        <v>806</v>
      </c>
      <c r="E23" s="13">
        <f t="shared" ref="E23:N23" ca="1" si="10">E20+E13</f>
        <v>848.31299355755027</v>
      </c>
      <c r="F23" s="13">
        <f t="shared" ca="1" si="10"/>
        <v>897.54766330430857</v>
      </c>
      <c r="G23" s="13">
        <f t="shared" ca="1" si="10"/>
        <v>947.05801653699848</v>
      </c>
      <c r="H23" s="13">
        <f t="shared" ca="1" si="10"/>
        <v>995.45136481264217</v>
      </c>
      <c r="I23" s="13">
        <f t="shared" ca="1" si="10"/>
        <v>1044.712233287798</v>
      </c>
      <c r="J23" s="13">
        <f t="shared" ca="1" si="10"/>
        <v>1093.7726328327169</v>
      </c>
      <c r="K23" s="13">
        <f t="shared" ca="1" si="10"/>
        <v>1142.6770391406494</v>
      </c>
      <c r="L23" s="13">
        <f t="shared" ca="1" si="10"/>
        <v>1191.6775341299467</v>
      </c>
      <c r="M23" s="13">
        <f t="shared" ca="1" si="10"/>
        <v>1240.7734656586965</v>
      </c>
      <c r="N23" s="13">
        <f t="shared" ca="1" si="10"/>
        <v>1289.9821242365838</v>
      </c>
    </row>
    <row r="24" spans="1:15" x14ac:dyDescent="0.35">
      <c r="B24" s="12"/>
      <c r="C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5" x14ac:dyDescent="0.35">
      <c r="A25" s="4" t="s">
        <v>85</v>
      </c>
      <c r="B25" s="12"/>
      <c r="C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5" x14ac:dyDescent="0.35">
      <c r="A26" t="s">
        <v>86</v>
      </c>
      <c r="B26" s="29">
        <v>419.7</v>
      </c>
      <c r="C26" s="29">
        <v>184.3</v>
      </c>
      <c r="D26" s="29">
        <v>179.7</v>
      </c>
      <c r="E26" s="12">
        <f>D26</f>
        <v>179.7</v>
      </c>
      <c r="F26" s="12">
        <f t="shared" ref="F26:N26" si="11">E26</f>
        <v>179.7</v>
      </c>
      <c r="G26" s="12">
        <f t="shared" si="11"/>
        <v>179.7</v>
      </c>
      <c r="H26" s="12">
        <f t="shared" si="11"/>
        <v>179.7</v>
      </c>
      <c r="I26" s="12">
        <f t="shared" si="11"/>
        <v>179.7</v>
      </c>
      <c r="J26" s="12">
        <f t="shared" si="11"/>
        <v>179.7</v>
      </c>
      <c r="K26" s="12">
        <f t="shared" si="11"/>
        <v>179.7</v>
      </c>
      <c r="L26" s="12">
        <f t="shared" si="11"/>
        <v>179.7</v>
      </c>
      <c r="M26" s="12">
        <f t="shared" si="11"/>
        <v>179.7</v>
      </c>
      <c r="N26" s="12">
        <f t="shared" si="11"/>
        <v>179.7</v>
      </c>
    </row>
    <row r="27" spans="1:15" x14ac:dyDescent="0.35">
      <c r="A27" t="s">
        <v>87</v>
      </c>
      <c r="B27" s="29">
        <v>8.6999999999999993</v>
      </c>
      <c r="C27" s="29">
        <v>3.9</v>
      </c>
      <c r="D27" s="29">
        <v>6.2</v>
      </c>
      <c r="E27" s="12">
        <f>D27</f>
        <v>6.2</v>
      </c>
      <c r="F27" s="12">
        <f t="shared" ref="F27:N27" si="12">E27</f>
        <v>6.2</v>
      </c>
      <c r="G27" s="12">
        <f t="shared" si="12"/>
        <v>6.2</v>
      </c>
      <c r="H27" s="12">
        <f t="shared" si="12"/>
        <v>6.2</v>
      </c>
      <c r="I27" s="12">
        <f t="shared" si="12"/>
        <v>6.2</v>
      </c>
      <c r="J27" s="12">
        <f t="shared" si="12"/>
        <v>6.2</v>
      </c>
      <c r="K27" s="12">
        <f t="shared" si="12"/>
        <v>6.2</v>
      </c>
      <c r="L27" s="12">
        <f t="shared" si="12"/>
        <v>6.2</v>
      </c>
      <c r="M27" s="12">
        <f t="shared" si="12"/>
        <v>6.2</v>
      </c>
      <c r="N27" s="12">
        <f t="shared" si="12"/>
        <v>6.2</v>
      </c>
    </row>
    <row r="28" spans="1:15" x14ac:dyDescent="0.35">
      <c r="A28" t="s">
        <v>88</v>
      </c>
      <c r="B28" s="29">
        <v>79.8</v>
      </c>
      <c r="C28" s="29">
        <v>67.2</v>
      </c>
      <c r="D28" s="29">
        <v>57.7</v>
      </c>
      <c r="E28" s="12">
        <f>D28</f>
        <v>57.7</v>
      </c>
      <c r="F28" s="12">
        <f t="shared" ref="F28:N28" si="13">E28</f>
        <v>57.7</v>
      </c>
      <c r="G28" s="12">
        <f t="shared" si="13"/>
        <v>57.7</v>
      </c>
      <c r="H28" s="12">
        <f t="shared" si="13"/>
        <v>57.7</v>
      </c>
      <c r="I28" s="12">
        <f t="shared" si="13"/>
        <v>57.7</v>
      </c>
      <c r="J28" s="12">
        <f t="shared" si="13"/>
        <v>57.7</v>
      </c>
      <c r="K28" s="12">
        <f t="shared" si="13"/>
        <v>57.7</v>
      </c>
      <c r="L28" s="12">
        <f t="shared" si="13"/>
        <v>57.7</v>
      </c>
      <c r="M28" s="12">
        <f t="shared" si="13"/>
        <v>57.7</v>
      </c>
      <c r="N28" s="12">
        <f t="shared" si="13"/>
        <v>57.7</v>
      </c>
    </row>
    <row r="29" spans="1:15" x14ac:dyDescent="0.35">
      <c r="A29" t="s">
        <v>89</v>
      </c>
      <c r="B29" s="29">
        <v>69.400000000000006</v>
      </c>
      <c r="C29" s="29">
        <v>14.6</v>
      </c>
      <c r="D29" s="29">
        <v>11.4</v>
      </c>
      <c r="E29" s="12">
        <f>D29</f>
        <v>11.4</v>
      </c>
      <c r="F29" s="12">
        <f t="shared" ref="F29:N29" si="14">E29</f>
        <v>11.4</v>
      </c>
      <c r="G29" s="12">
        <f t="shared" si="14"/>
        <v>11.4</v>
      </c>
      <c r="H29" s="12">
        <f t="shared" si="14"/>
        <v>11.4</v>
      </c>
      <c r="I29" s="12">
        <f t="shared" si="14"/>
        <v>11.4</v>
      </c>
      <c r="J29" s="12">
        <f t="shared" si="14"/>
        <v>11.4</v>
      </c>
      <c r="K29" s="12">
        <f t="shared" si="14"/>
        <v>11.4</v>
      </c>
      <c r="L29" s="12">
        <f t="shared" si="14"/>
        <v>11.4</v>
      </c>
      <c r="M29" s="12">
        <f t="shared" si="14"/>
        <v>11.4</v>
      </c>
      <c r="N29" s="12">
        <f t="shared" si="14"/>
        <v>11.4</v>
      </c>
    </row>
    <row r="30" spans="1:15" x14ac:dyDescent="0.35">
      <c r="A30" t="s">
        <v>90</v>
      </c>
      <c r="B30" s="29">
        <v>6.9</v>
      </c>
      <c r="C30" s="29">
        <v>9.6</v>
      </c>
      <c r="D30" s="29">
        <v>7.8</v>
      </c>
      <c r="E30" s="12">
        <f>D30</f>
        <v>7.8</v>
      </c>
      <c r="F30" s="12">
        <f t="shared" ref="F30:N30" si="15">E30</f>
        <v>7.8</v>
      </c>
      <c r="G30" s="12">
        <f t="shared" si="15"/>
        <v>7.8</v>
      </c>
      <c r="H30" s="12">
        <f t="shared" si="15"/>
        <v>7.8</v>
      </c>
      <c r="I30" s="12">
        <f t="shared" si="15"/>
        <v>7.8</v>
      </c>
      <c r="J30" s="12">
        <f t="shared" si="15"/>
        <v>7.8</v>
      </c>
      <c r="K30" s="12">
        <f t="shared" si="15"/>
        <v>7.8</v>
      </c>
      <c r="L30" s="12">
        <f t="shared" si="15"/>
        <v>7.8</v>
      </c>
      <c r="M30" s="12">
        <f t="shared" si="15"/>
        <v>7.8</v>
      </c>
      <c r="N30" s="12">
        <f t="shared" si="15"/>
        <v>7.8</v>
      </c>
    </row>
    <row r="31" spans="1:15" x14ac:dyDescent="0.35">
      <c r="A31" s="4" t="s">
        <v>91</v>
      </c>
      <c r="B31" s="13">
        <f>SUM(B26:B30)</f>
        <v>584.5</v>
      </c>
      <c r="C31" s="13">
        <f>SUM(C26:C30)</f>
        <v>279.60000000000008</v>
      </c>
      <c r="D31" s="13">
        <f>SUM(D26:D30)</f>
        <v>262.79999999999995</v>
      </c>
      <c r="E31" s="13">
        <f>SUM(E26:E30)</f>
        <v>262.79999999999995</v>
      </c>
      <c r="F31" s="13">
        <f t="shared" ref="F31:N31" si="16">SUM(F26:F30)</f>
        <v>262.79999999999995</v>
      </c>
      <c r="G31" s="13">
        <f t="shared" si="16"/>
        <v>262.79999999999995</v>
      </c>
      <c r="H31" s="13">
        <f t="shared" si="16"/>
        <v>262.79999999999995</v>
      </c>
      <c r="I31" s="13">
        <f t="shared" si="16"/>
        <v>262.79999999999995</v>
      </c>
      <c r="J31" s="13">
        <f t="shared" si="16"/>
        <v>262.79999999999995</v>
      </c>
      <c r="K31" s="13">
        <f t="shared" si="16"/>
        <v>262.79999999999995</v>
      </c>
      <c r="L31" s="13">
        <f t="shared" si="16"/>
        <v>262.79999999999995</v>
      </c>
      <c r="M31" s="13">
        <f t="shared" si="16"/>
        <v>262.79999999999995</v>
      </c>
      <c r="N31" s="13">
        <f t="shared" si="16"/>
        <v>262.79999999999995</v>
      </c>
    </row>
    <row r="32" spans="1:15" x14ac:dyDescent="0.35">
      <c r="B32" s="12"/>
      <c r="C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35">
      <c r="A33" s="4" t="s">
        <v>127</v>
      </c>
      <c r="B33" s="12"/>
      <c r="C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35">
      <c r="A34" t="s">
        <v>92</v>
      </c>
      <c r="B34" s="29">
        <v>266.39999999999998</v>
      </c>
      <c r="C34" s="29">
        <v>221.8</v>
      </c>
      <c r="D34" s="29">
        <v>218.3</v>
      </c>
      <c r="E34" s="12">
        <f>'WK Cap'!F13</f>
        <v>212.11459251815447</v>
      </c>
      <c r="F34" s="12">
        <f>'WK Cap'!G13</f>
        <v>212.97733824101292</v>
      </c>
      <c r="G34" s="12">
        <f>'WK Cap'!H13</f>
        <v>213.86327343860282</v>
      </c>
      <c r="H34" s="12">
        <f>'WK Cap'!I13</f>
        <v>214.77257695669357</v>
      </c>
      <c r="I34" s="12">
        <f>'WK Cap'!J13</f>
        <v>216.40894819408086</v>
      </c>
      <c r="J34" s="12">
        <f>'WK Cap'!K13</f>
        <v>217.84337852010503</v>
      </c>
      <c r="K34" s="12">
        <f>'WK Cap'!L13</f>
        <v>219.29267483745531</v>
      </c>
      <c r="L34" s="12">
        <f>'WK Cap'!M13</f>
        <v>220.75698354814114</v>
      </c>
      <c r="M34" s="12">
        <f>'WK Cap'!N13</f>
        <v>222.23645262253808</v>
      </c>
      <c r="N34" s="12">
        <f>'WK Cap'!O13</f>
        <v>223.73123161576993</v>
      </c>
    </row>
    <row r="35" spans="1:14" x14ac:dyDescent="0.35">
      <c r="A35" t="s">
        <v>93</v>
      </c>
      <c r="B35" s="29">
        <v>2</v>
      </c>
      <c r="C35" s="29">
        <v>167.5</v>
      </c>
      <c r="D35" s="29">
        <v>26.5</v>
      </c>
      <c r="E35" s="12">
        <f>D35</f>
        <v>26.5</v>
      </c>
      <c r="F35" s="12">
        <f t="shared" ref="F35:N35" si="17">E35</f>
        <v>26.5</v>
      </c>
      <c r="G35" s="12">
        <f t="shared" si="17"/>
        <v>26.5</v>
      </c>
      <c r="H35" s="12">
        <f t="shared" si="17"/>
        <v>26.5</v>
      </c>
      <c r="I35" s="12">
        <f t="shared" si="17"/>
        <v>26.5</v>
      </c>
      <c r="J35" s="12">
        <f t="shared" si="17"/>
        <v>26.5</v>
      </c>
      <c r="K35" s="12">
        <f t="shared" si="17"/>
        <v>26.5</v>
      </c>
      <c r="L35" s="12">
        <f t="shared" si="17"/>
        <v>26.5</v>
      </c>
      <c r="M35" s="12">
        <f t="shared" si="17"/>
        <v>26.5</v>
      </c>
      <c r="N35" s="12">
        <f t="shared" si="17"/>
        <v>26.5</v>
      </c>
    </row>
    <row r="36" spans="1:14" x14ac:dyDescent="0.35">
      <c r="A36" t="str">
        <f>A27</f>
        <v>Derivatives</v>
      </c>
      <c r="B36" s="29">
        <v>0</v>
      </c>
      <c r="C36" s="29">
        <v>2.2999999999999998</v>
      </c>
      <c r="D36" s="29">
        <v>2</v>
      </c>
      <c r="E36" s="12">
        <f>D36</f>
        <v>2</v>
      </c>
      <c r="F36" s="12">
        <f t="shared" ref="F36:N36" si="18">E36</f>
        <v>2</v>
      </c>
      <c r="G36" s="12">
        <f t="shared" si="18"/>
        <v>2</v>
      </c>
      <c r="H36" s="12">
        <f t="shared" si="18"/>
        <v>2</v>
      </c>
      <c r="I36" s="12">
        <f t="shared" si="18"/>
        <v>2</v>
      </c>
      <c r="J36" s="12">
        <f t="shared" si="18"/>
        <v>2</v>
      </c>
      <c r="K36" s="12">
        <f t="shared" si="18"/>
        <v>2</v>
      </c>
      <c r="L36" s="12">
        <f t="shared" si="18"/>
        <v>2</v>
      </c>
      <c r="M36" s="12">
        <f t="shared" si="18"/>
        <v>2</v>
      </c>
      <c r="N36" s="12">
        <f t="shared" si="18"/>
        <v>2</v>
      </c>
    </row>
    <row r="37" spans="1:14" x14ac:dyDescent="0.35">
      <c r="A37" t="s">
        <v>94</v>
      </c>
      <c r="B37" s="29">
        <v>0.7</v>
      </c>
      <c r="C37" s="29">
        <v>2.6</v>
      </c>
      <c r="D37" s="29">
        <v>3.6</v>
      </c>
      <c r="E37" s="12">
        <f>'WK Cap'!F14</f>
        <v>3.6</v>
      </c>
      <c r="F37" s="12">
        <f>'WK Cap'!G14</f>
        <v>3.6</v>
      </c>
      <c r="G37" s="12">
        <f>'WK Cap'!H14</f>
        <v>3.6</v>
      </c>
      <c r="H37" s="12">
        <f>'WK Cap'!I14</f>
        <v>3.6</v>
      </c>
      <c r="I37" s="12">
        <f>'WK Cap'!J14</f>
        <v>3.6</v>
      </c>
      <c r="J37" s="12">
        <f>'WK Cap'!K14</f>
        <v>3.6</v>
      </c>
      <c r="K37" s="12">
        <f>'WK Cap'!L14</f>
        <v>3.6</v>
      </c>
      <c r="L37" s="12">
        <f>'WK Cap'!M14</f>
        <v>3.6</v>
      </c>
      <c r="M37" s="12">
        <f>'WK Cap'!N14</f>
        <v>3.6</v>
      </c>
      <c r="N37" s="12">
        <f>'WK Cap'!O14</f>
        <v>3.6</v>
      </c>
    </row>
    <row r="38" spans="1:14" x14ac:dyDescent="0.35">
      <c r="A38" t="s">
        <v>90</v>
      </c>
      <c r="B38" s="29">
        <v>0.6</v>
      </c>
      <c r="C38" s="29">
        <v>1.6</v>
      </c>
      <c r="D38" s="29">
        <v>1.7</v>
      </c>
      <c r="E38" s="12">
        <f>'WK Cap'!F15</f>
        <v>1.7</v>
      </c>
      <c r="F38" s="12">
        <f>'WK Cap'!G15</f>
        <v>1.7</v>
      </c>
      <c r="G38" s="12">
        <f>'WK Cap'!H15</f>
        <v>1.7</v>
      </c>
      <c r="H38" s="12">
        <f>'WK Cap'!I15</f>
        <v>1.7</v>
      </c>
      <c r="I38" s="12">
        <f>'WK Cap'!J15</f>
        <v>1.7</v>
      </c>
      <c r="J38" s="12">
        <f>'WK Cap'!K15</f>
        <v>1.7</v>
      </c>
      <c r="K38" s="12">
        <f>'WK Cap'!L15</f>
        <v>1.7</v>
      </c>
      <c r="L38" s="12">
        <f>'WK Cap'!M15</f>
        <v>1.7</v>
      </c>
      <c r="M38" s="12">
        <f>'WK Cap'!N15</f>
        <v>1.7</v>
      </c>
      <c r="N38" s="12">
        <f>'WK Cap'!O15</f>
        <v>1.7</v>
      </c>
    </row>
    <row r="39" spans="1:14" x14ac:dyDescent="0.35">
      <c r="A39" t="s">
        <v>95</v>
      </c>
      <c r="B39" s="29">
        <v>2.2999999999999998</v>
      </c>
      <c r="C39" s="29">
        <v>1.7</v>
      </c>
      <c r="D39" s="29">
        <v>1.7</v>
      </c>
      <c r="E39" s="12">
        <f>'WK Cap'!F16</f>
        <v>1.7</v>
      </c>
      <c r="F39" s="12">
        <f>'WK Cap'!G16</f>
        <v>1.7</v>
      </c>
      <c r="G39" s="12">
        <f>'WK Cap'!H16</f>
        <v>1.7</v>
      </c>
      <c r="H39" s="12">
        <f>'WK Cap'!I16</f>
        <v>1.7</v>
      </c>
      <c r="I39" s="12">
        <f>'WK Cap'!J16</f>
        <v>1.7</v>
      </c>
      <c r="J39" s="12">
        <f>'WK Cap'!K16</f>
        <v>1.7</v>
      </c>
      <c r="K39" s="12">
        <f>'WK Cap'!L16</f>
        <v>1.7</v>
      </c>
      <c r="L39" s="12">
        <f>'WK Cap'!M16</f>
        <v>1.7</v>
      </c>
      <c r="M39" s="12">
        <f>'WK Cap'!N16</f>
        <v>1.7</v>
      </c>
      <c r="N39" s="12">
        <f>'WK Cap'!O16</f>
        <v>1.7</v>
      </c>
    </row>
    <row r="40" spans="1:14" x14ac:dyDescent="0.35">
      <c r="A40" s="4" t="s">
        <v>96</v>
      </c>
      <c r="B40" s="13">
        <f>SUM(B34:B39)</f>
        <v>272</v>
      </c>
      <c r="C40" s="13">
        <f>SUM(C34:C39)</f>
        <v>397.50000000000006</v>
      </c>
      <c r="D40" s="13">
        <f>SUM(D34:D39)</f>
        <v>253.79999999999998</v>
      </c>
      <c r="E40" s="13">
        <f>SUM(E34:E39)</f>
        <v>247.61459251815444</v>
      </c>
      <c r="F40" s="13">
        <f t="shared" ref="F40:N40" si="19">SUM(F34:F39)</f>
        <v>248.47733824101289</v>
      </c>
      <c r="G40" s="13">
        <f t="shared" si="19"/>
        <v>249.36327343860279</v>
      </c>
      <c r="H40" s="13">
        <f t="shared" si="19"/>
        <v>250.27257695669354</v>
      </c>
      <c r="I40" s="13">
        <f t="shared" si="19"/>
        <v>251.90894819408084</v>
      </c>
      <c r="J40" s="13">
        <f t="shared" si="19"/>
        <v>253.34337852010501</v>
      </c>
      <c r="K40" s="13">
        <f t="shared" si="19"/>
        <v>254.79267483745528</v>
      </c>
      <c r="L40" s="13">
        <f t="shared" si="19"/>
        <v>256.25698354814114</v>
      </c>
      <c r="M40" s="13">
        <f t="shared" si="19"/>
        <v>257.73645262253808</v>
      </c>
      <c r="N40" s="13">
        <f t="shared" si="19"/>
        <v>259.2312316157699</v>
      </c>
    </row>
    <row r="41" spans="1:14" x14ac:dyDescent="0.35">
      <c r="B41" s="12"/>
      <c r="C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x14ac:dyDescent="0.35">
      <c r="A42" t="s">
        <v>97</v>
      </c>
      <c r="B42" s="29">
        <v>0</v>
      </c>
      <c r="C42" s="29">
        <v>0</v>
      </c>
      <c r="D42" s="29"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x14ac:dyDescent="0.35">
      <c r="A43" s="4" t="s">
        <v>98</v>
      </c>
      <c r="B43" s="12">
        <f>B42+B40+B31</f>
        <v>856.5</v>
      </c>
      <c r="C43" s="12">
        <f>C42+C40+C31</f>
        <v>677.10000000000014</v>
      </c>
      <c r="D43" s="6">
        <f>D40+D31</f>
        <v>516.59999999999991</v>
      </c>
      <c r="E43" s="6">
        <f t="shared" ref="E43:N43" si="20">E40+E31</f>
        <v>510.41459251815439</v>
      </c>
      <c r="F43" s="6">
        <f t="shared" si="20"/>
        <v>511.27733824101284</v>
      </c>
      <c r="G43" s="6">
        <f t="shared" si="20"/>
        <v>512.1632734386028</v>
      </c>
      <c r="H43" s="6">
        <f t="shared" si="20"/>
        <v>513.07257695669352</v>
      </c>
      <c r="I43" s="6">
        <f t="shared" si="20"/>
        <v>514.70894819408079</v>
      </c>
      <c r="J43" s="6">
        <f t="shared" si="20"/>
        <v>516.14337852010499</v>
      </c>
      <c r="K43" s="6">
        <f t="shared" si="20"/>
        <v>517.59267483745521</v>
      </c>
      <c r="L43" s="6">
        <f t="shared" si="20"/>
        <v>519.05698354814103</v>
      </c>
      <c r="M43" s="6">
        <f t="shared" si="20"/>
        <v>520.53645262253804</v>
      </c>
      <c r="N43" s="6">
        <f t="shared" si="20"/>
        <v>522.03123161576991</v>
      </c>
    </row>
    <row r="44" spans="1:14" x14ac:dyDescent="0.35">
      <c r="B44" s="12"/>
      <c r="C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x14ac:dyDescent="0.35">
      <c r="A45" s="4" t="s">
        <v>26</v>
      </c>
      <c r="B45" s="29">
        <v>274.3</v>
      </c>
      <c r="C45" s="29">
        <v>307.39999999999998</v>
      </c>
      <c r="D45" s="29">
        <v>289.39999999999998</v>
      </c>
      <c r="E45" s="12">
        <f ca="1">Equity!F8</f>
        <v>337.89840103939582</v>
      </c>
      <c r="F45" s="12">
        <f ca="1">Equity!G8</f>
        <v>386.27032506329562</v>
      </c>
      <c r="G45" s="12">
        <f ca="1">Equity!H8</f>
        <v>434.89474309839562</v>
      </c>
      <c r="H45" s="12">
        <f ca="1">Equity!I8</f>
        <v>482.37878785594864</v>
      </c>
      <c r="I45" s="12">
        <f ca="1">Equity!J8</f>
        <v>530.00328509371718</v>
      </c>
      <c r="J45" s="12">
        <f ca="1">Equity!K8</f>
        <v>577.62925431261192</v>
      </c>
      <c r="K45" s="12">
        <f ca="1">Equity!L8</f>
        <v>625.08436430319421</v>
      </c>
      <c r="L45" s="12">
        <f ca="1">Equity!M8</f>
        <v>672.62055058180567</v>
      </c>
      <c r="M45" s="12">
        <f ca="1">Equity!N8</f>
        <v>720.23701303615849</v>
      </c>
      <c r="N45" s="12">
        <f ca="1">Equity!O8</f>
        <v>767.95089262081376</v>
      </c>
    </row>
    <row r="46" spans="1:14" x14ac:dyDescent="0.35">
      <c r="A46" s="4" t="s">
        <v>27</v>
      </c>
      <c r="B46" s="29">
        <v>0</v>
      </c>
      <c r="C46" s="29">
        <v>0</v>
      </c>
      <c r="D46" s="29">
        <v>0</v>
      </c>
      <c r="E46" s="12">
        <f>D46</f>
        <v>0</v>
      </c>
      <c r="F46" s="12">
        <f t="shared" ref="F46:N46" si="21">E46</f>
        <v>0</v>
      </c>
      <c r="G46" s="12">
        <f t="shared" si="21"/>
        <v>0</v>
      </c>
      <c r="H46" s="12">
        <f t="shared" si="21"/>
        <v>0</v>
      </c>
      <c r="I46" s="12">
        <f t="shared" si="21"/>
        <v>0</v>
      </c>
      <c r="J46" s="12">
        <f t="shared" si="21"/>
        <v>0</v>
      </c>
      <c r="K46" s="12">
        <f t="shared" si="21"/>
        <v>0</v>
      </c>
      <c r="L46" s="12">
        <f t="shared" si="21"/>
        <v>0</v>
      </c>
      <c r="M46" s="12">
        <f t="shared" si="21"/>
        <v>0</v>
      </c>
      <c r="N46" s="12">
        <f t="shared" si="21"/>
        <v>0</v>
      </c>
    </row>
    <row r="47" spans="1:14" x14ac:dyDescent="0.35">
      <c r="A47" s="4" t="s">
        <v>99</v>
      </c>
      <c r="B47" s="12">
        <f>SUM(B45:B46)</f>
        <v>274.3</v>
      </c>
      <c r="C47" s="12">
        <f>SUM(C45:C46)</f>
        <v>307.39999999999998</v>
      </c>
      <c r="D47" s="12">
        <f>SUM(D45:D46)</f>
        <v>289.39999999999998</v>
      </c>
      <c r="E47" s="12">
        <f t="shared" ref="E47:N47" ca="1" si="22">SUM(E45:E46)</f>
        <v>337.89840103939582</v>
      </c>
      <c r="F47" s="12">
        <f t="shared" ca="1" si="22"/>
        <v>386.27032506329562</v>
      </c>
      <c r="G47" s="12">
        <f t="shared" ca="1" si="22"/>
        <v>434.89474309839562</v>
      </c>
      <c r="H47" s="12">
        <f t="shared" ca="1" si="22"/>
        <v>482.37878785594864</v>
      </c>
      <c r="I47" s="12">
        <f t="shared" ca="1" si="22"/>
        <v>530.00328509371718</v>
      </c>
      <c r="J47" s="12">
        <f t="shared" ca="1" si="22"/>
        <v>577.62925431261192</v>
      </c>
      <c r="K47" s="12">
        <f t="shared" ca="1" si="22"/>
        <v>625.08436430319421</v>
      </c>
      <c r="L47" s="12">
        <f t="shared" ca="1" si="22"/>
        <v>672.62055058180567</v>
      </c>
      <c r="M47" s="12">
        <f t="shared" ca="1" si="22"/>
        <v>720.23701303615849</v>
      </c>
      <c r="N47" s="12">
        <f t="shared" ca="1" si="22"/>
        <v>767.95089262081376</v>
      </c>
    </row>
    <row r="48" spans="1:14" x14ac:dyDescent="0.35">
      <c r="B48" s="12"/>
      <c r="C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x14ac:dyDescent="0.35">
      <c r="A49" s="5" t="s">
        <v>28</v>
      </c>
      <c r="B49" s="33">
        <f>B23-B43-B47</f>
        <v>0</v>
      </c>
      <c r="C49" s="33">
        <f>C23-C43-C47</f>
        <v>0</v>
      </c>
      <c r="D49" s="33">
        <f>D23-D43-D47</f>
        <v>0</v>
      </c>
      <c r="E49" s="33">
        <f t="shared" ref="E49:N49" ca="1" si="23">E23-E43-E47</f>
        <v>0</v>
      </c>
      <c r="F49" s="33">
        <f t="shared" ca="1" si="23"/>
        <v>0</v>
      </c>
      <c r="G49" s="33">
        <f t="shared" ca="1" si="23"/>
        <v>0</v>
      </c>
      <c r="H49" s="33">
        <f t="shared" ca="1" si="23"/>
        <v>0</v>
      </c>
      <c r="I49" s="33">
        <f t="shared" ca="1" si="23"/>
        <v>0</v>
      </c>
      <c r="J49" s="33">
        <f t="shared" ca="1" si="23"/>
        <v>0</v>
      </c>
      <c r="K49" s="33">
        <f t="shared" ca="1" si="23"/>
        <v>0</v>
      </c>
      <c r="L49" s="33">
        <f t="shared" ca="1" si="23"/>
        <v>0</v>
      </c>
      <c r="M49" s="33">
        <f t="shared" ca="1" si="23"/>
        <v>0</v>
      </c>
      <c r="N49" s="33">
        <f t="shared" ca="1" si="23"/>
        <v>0</v>
      </c>
    </row>
  </sheetData>
  <mergeCells count="1">
    <mergeCell ref="A1:M1"/>
  </mergeCells>
  <pageMargins left="0.7" right="0.7" top="0.75" bottom="0.75" header="0.3" footer="0.3"/>
  <pageSetup paperSize="9" orientation="portrait" r:id="rId1"/>
  <ignoredErrors>
    <ignoredError sqref="E8:N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29"/>
  <sheetViews>
    <sheetView zoomScale="90" zoomScaleNormal="90" workbookViewId="0">
      <selection activeCell="D29" sqref="D29"/>
    </sheetView>
  </sheetViews>
  <sheetFormatPr defaultRowHeight="14.5" x14ac:dyDescent="0.35"/>
  <cols>
    <col min="1" max="1" width="31.81640625" bestFit="1" customWidth="1"/>
    <col min="2" max="3" width="10" bestFit="1" customWidth="1"/>
    <col min="4" max="4" width="9.7265625" bestFit="1" customWidth="1"/>
    <col min="5" max="14" width="10" bestFit="1" customWidth="1"/>
    <col min="15" max="15" width="9.54296875" bestFit="1" customWidth="1"/>
  </cols>
  <sheetData>
    <row r="1" spans="1:15" x14ac:dyDescent="0.35">
      <c r="A1" s="117" t="s">
        <v>30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37"/>
    </row>
    <row r="2" spans="1:15" x14ac:dyDescent="0.35">
      <c r="A2" t="str">
        <f>BS!A2</f>
        <v>All numbers are in millions of £</v>
      </c>
    </row>
    <row r="3" spans="1:15" x14ac:dyDescent="0.35">
      <c r="B3" s="4">
        <f>BS!B3</f>
        <v>2012</v>
      </c>
      <c r="C3" s="4">
        <f>BS!C3</f>
        <v>2013</v>
      </c>
      <c r="D3" s="4">
        <f>BS!D3</f>
        <v>2014</v>
      </c>
      <c r="E3" s="4">
        <f>BS!E3</f>
        <v>2015</v>
      </c>
      <c r="F3" s="4">
        <f>BS!F3</f>
        <v>2016</v>
      </c>
      <c r="G3" s="4">
        <f>BS!G3</f>
        <v>2017</v>
      </c>
      <c r="H3" s="4">
        <f>BS!H3</f>
        <v>2018</v>
      </c>
      <c r="I3" s="4">
        <f>BS!I3</f>
        <v>2019</v>
      </c>
      <c r="J3" s="4">
        <f>BS!J3</f>
        <v>2020</v>
      </c>
      <c r="K3" s="4">
        <f>BS!K3</f>
        <v>2021</v>
      </c>
      <c r="L3" s="4">
        <f>BS!L3</f>
        <v>2022</v>
      </c>
      <c r="M3" s="4">
        <f>BS!M3</f>
        <v>2023</v>
      </c>
      <c r="N3" s="4">
        <f>M3+1</f>
        <v>2024</v>
      </c>
    </row>
    <row r="5" spans="1:15" x14ac:dyDescent="0.35">
      <c r="A5" t="s">
        <v>1</v>
      </c>
      <c r="B5" s="12">
        <f>'IS-CF'!B5</f>
        <v>1514.7</v>
      </c>
      <c r="C5" s="12">
        <f>'IS-CF'!C5</f>
        <v>1381.6</v>
      </c>
      <c r="D5" s="12">
        <f>'IS-CF'!D5</f>
        <v>1391</v>
      </c>
      <c r="E5" s="12">
        <f>'IS-CF'!I5</f>
        <v>1379.2790500000001</v>
      </c>
      <c r="F5" s="12">
        <f>'IS-CF'!J5</f>
        <v>1384.889069975</v>
      </c>
      <c r="G5" s="12">
        <f>'IS-CF'!K5</f>
        <v>1390.6498799371375</v>
      </c>
      <c r="H5" s="12">
        <f>'IS-CF'!L5</f>
        <v>1396.5626428343273</v>
      </c>
      <c r="I5" s="12">
        <f>'IS-CF'!M5</f>
        <v>1407.2031769859686</v>
      </c>
      <c r="J5" s="12">
        <f>'IS-CF'!N5</f>
        <v>1416.5305866369592</v>
      </c>
      <c r="K5" s="12">
        <f>'IS-CF'!O5</f>
        <v>1425.9546626707299</v>
      </c>
      <c r="L5" s="12">
        <f>'IS-CF'!P5</f>
        <v>1435.4763570690473</v>
      </c>
      <c r="M5" s="12">
        <f>'IS-CF'!Q5</f>
        <v>1445.0966320120074</v>
      </c>
      <c r="N5" s="12">
        <f>'IS-CF'!R5</f>
        <v>1454.8164599845611</v>
      </c>
      <c r="O5" s="12"/>
    </row>
    <row r="6" spans="1:15" x14ac:dyDescent="0.35">
      <c r="A6" t="s">
        <v>31</v>
      </c>
      <c r="B6" s="12">
        <v>48.6</v>
      </c>
      <c r="C6">
        <v>42.8</v>
      </c>
      <c r="D6" s="12">
        <v>62.8</v>
      </c>
      <c r="E6" s="12">
        <f>E5*E7</f>
        <v>49.751290973066574</v>
      </c>
      <c r="F6" s="12">
        <f>F5*F7</f>
        <v>49.953647222979122</v>
      </c>
      <c r="G6" s="12">
        <f t="shared" ref="G6:N6" si="0">G5*G7</f>
        <v>50.161442543778662</v>
      </c>
      <c r="H6" s="12">
        <f t="shared" si="0"/>
        <v>50.374718883583029</v>
      </c>
      <c r="I6" s="12">
        <f t="shared" si="0"/>
        <v>50.758528316987501</v>
      </c>
      <c r="J6" s="12">
        <f t="shared" si="0"/>
        <v>51.094972687378991</v>
      </c>
      <c r="K6" s="12">
        <f t="shared" si="0"/>
        <v>51.434903862951067</v>
      </c>
      <c r="L6" s="12">
        <f t="shared" si="0"/>
        <v>51.778356182166171</v>
      </c>
      <c r="M6" s="12">
        <f t="shared" si="0"/>
        <v>52.125364351345645</v>
      </c>
      <c r="N6" s="12">
        <f t="shared" si="0"/>
        <v>52.475963448512147</v>
      </c>
      <c r="O6" s="12"/>
    </row>
    <row r="7" spans="1:15" x14ac:dyDescent="0.35">
      <c r="A7" t="s">
        <v>100</v>
      </c>
      <c r="B7" s="16">
        <f t="shared" ref="B7:C7" si="1">B6/B5</f>
        <v>3.2085561497326207E-2</v>
      </c>
      <c r="C7" s="16">
        <f t="shared" si="1"/>
        <v>3.0978575564562825E-2</v>
      </c>
      <c r="D7" s="16">
        <f>D6/D5</f>
        <v>4.5147375988497482E-2</v>
      </c>
      <c r="E7" s="20">
        <f>AVERAGE(B7:D7)</f>
        <v>3.6070504350128839E-2</v>
      </c>
      <c r="F7" s="20">
        <f>E7</f>
        <v>3.6070504350128839E-2</v>
      </c>
      <c r="G7" s="20">
        <f t="shared" ref="G7:N7" si="2">F7</f>
        <v>3.6070504350128839E-2</v>
      </c>
      <c r="H7" s="20">
        <f t="shared" si="2"/>
        <v>3.6070504350128839E-2</v>
      </c>
      <c r="I7" s="20">
        <f t="shared" si="2"/>
        <v>3.6070504350128839E-2</v>
      </c>
      <c r="J7" s="20">
        <f t="shared" si="2"/>
        <v>3.6070504350128839E-2</v>
      </c>
      <c r="K7" s="20">
        <f t="shared" si="2"/>
        <v>3.6070504350128839E-2</v>
      </c>
      <c r="L7" s="20">
        <f t="shared" si="2"/>
        <v>3.6070504350128839E-2</v>
      </c>
      <c r="M7" s="20">
        <f t="shared" si="2"/>
        <v>3.6070504350128839E-2</v>
      </c>
      <c r="N7" s="20">
        <f t="shared" si="2"/>
        <v>3.6070504350128839E-2</v>
      </c>
      <c r="O7" s="15"/>
    </row>
    <row r="9" spans="1:15" x14ac:dyDescent="0.35">
      <c r="A9" t="s">
        <v>103</v>
      </c>
      <c r="B9" s="12">
        <v>30.9</v>
      </c>
      <c r="C9" s="12">
        <v>29</v>
      </c>
      <c r="D9" s="12">
        <v>28.6</v>
      </c>
      <c r="E9" s="12">
        <f>E10*(D15+E6)</f>
        <v>35.596041427958824</v>
      </c>
      <c r="F9" s="12">
        <f t="shared" ref="F9:N9" si="3">F10*(E15+F6)</f>
        <v>36.633720190089001</v>
      </c>
      <c r="G9" s="12">
        <f t="shared" si="3"/>
        <v>37.620727179116109</v>
      </c>
      <c r="H9" s="12">
        <f t="shared" si="3"/>
        <v>39.388588775929399</v>
      </c>
      <c r="I9" s="12">
        <f t="shared" si="3"/>
        <v>40.404477948311566</v>
      </c>
      <c r="J9" s="12">
        <f t="shared" si="3"/>
        <v>41.463096426671711</v>
      </c>
      <c r="K9" s="12">
        <f t="shared" si="3"/>
        <v>42.584963597494607</v>
      </c>
      <c r="L9" s="12">
        <f t="shared" si="3"/>
        <v>43.49222836423926</v>
      </c>
      <c r="M9" s="12">
        <f t="shared" si="3"/>
        <v>44.384911394015049</v>
      </c>
      <c r="N9" s="12">
        <f t="shared" si="3"/>
        <v>45.238568677333852</v>
      </c>
      <c r="O9" s="12"/>
    </row>
    <row r="10" spans="1:15" x14ac:dyDescent="0.35">
      <c r="A10" t="s">
        <v>32</v>
      </c>
      <c r="B10" s="16">
        <f t="shared" ref="B10:D10" si="4">B9/B15</f>
        <v>0.10922587486744433</v>
      </c>
      <c r="C10" s="16">
        <f t="shared" si="4"/>
        <v>0.1072881982981872</v>
      </c>
      <c r="D10" s="16">
        <f t="shared" si="4"/>
        <v>9.90990990990991E-2</v>
      </c>
      <c r="E10" s="20">
        <f>AVERAGE(B10:D10)</f>
        <v>0.10520439075491021</v>
      </c>
      <c r="F10" s="20">
        <f t="shared" ref="F10:N10" si="5">AVERAGE(C10:E10)</f>
        <v>0.10386389605073217</v>
      </c>
      <c r="G10" s="20">
        <f t="shared" si="5"/>
        <v>0.10272246196824715</v>
      </c>
      <c r="H10" s="20">
        <f t="shared" si="5"/>
        <v>0.1039302495912965</v>
      </c>
      <c r="I10" s="20">
        <f t="shared" si="5"/>
        <v>0.10350553587009194</v>
      </c>
      <c r="J10" s="20">
        <f t="shared" si="5"/>
        <v>0.1033860824765452</v>
      </c>
      <c r="K10" s="20">
        <f t="shared" si="5"/>
        <v>0.10360728931264455</v>
      </c>
      <c r="L10" s="20">
        <f t="shared" si="5"/>
        <v>0.10349963588642723</v>
      </c>
      <c r="M10" s="20">
        <f t="shared" si="5"/>
        <v>0.10349766922520566</v>
      </c>
      <c r="N10" s="20">
        <f t="shared" si="5"/>
        <v>0.10353486480809249</v>
      </c>
      <c r="O10" s="15"/>
    </row>
    <row r="12" spans="1:15" x14ac:dyDescent="0.35">
      <c r="A12" t="s">
        <v>101</v>
      </c>
      <c r="B12" s="18"/>
      <c r="C12" s="18"/>
      <c r="D12" s="18"/>
      <c r="E12" s="12">
        <f>D15</f>
        <v>288.60000000000002</v>
      </c>
      <c r="F12" s="12">
        <f t="shared" ref="F12:N12" si="6">E15</f>
        <v>302.7552495451078</v>
      </c>
      <c r="G12" s="12">
        <f t="shared" si="6"/>
        <v>316.07517657799792</v>
      </c>
      <c r="H12" s="12">
        <f t="shared" si="6"/>
        <v>328.61589194266048</v>
      </c>
      <c r="I12" s="12">
        <f t="shared" si="6"/>
        <v>339.60202205031408</v>
      </c>
      <c r="J12" s="12">
        <f t="shared" si="6"/>
        <v>349.95607241899</v>
      </c>
      <c r="K12" s="12">
        <f t="shared" si="6"/>
        <v>359.58794867969726</v>
      </c>
      <c r="L12" s="12">
        <f t="shared" si="6"/>
        <v>368.4378889451537</v>
      </c>
      <c r="M12" s="12">
        <f t="shared" si="6"/>
        <v>376.72401676308061</v>
      </c>
      <c r="N12" s="12">
        <f t="shared" si="6"/>
        <v>384.46446972041122</v>
      </c>
      <c r="O12" s="12"/>
    </row>
    <row r="13" spans="1:15" x14ac:dyDescent="0.35">
      <c r="A13" t="s">
        <v>31</v>
      </c>
      <c r="B13" s="18"/>
      <c r="C13" s="18"/>
      <c r="D13" s="18"/>
      <c r="E13" s="12">
        <f>E6</f>
        <v>49.751290973066574</v>
      </c>
      <c r="F13" s="12">
        <f t="shared" ref="F13:N13" si="7">F6</f>
        <v>49.953647222979122</v>
      </c>
      <c r="G13" s="12">
        <f t="shared" si="7"/>
        <v>50.161442543778662</v>
      </c>
      <c r="H13" s="12">
        <f t="shared" si="7"/>
        <v>50.374718883583029</v>
      </c>
      <c r="I13" s="12">
        <f t="shared" si="7"/>
        <v>50.758528316987501</v>
      </c>
      <c r="J13" s="12">
        <f t="shared" si="7"/>
        <v>51.094972687378991</v>
      </c>
      <c r="K13" s="12">
        <f t="shared" si="7"/>
        <v>51.434903862951067</v>
      </c>
      <c r="L13" s="12">
        <f t="shared" si="7"/>
        <v>51.778356182166171</v>
      </c>
      <c r="M13" s="12">
        <f t="shared" si="7"/>
        <v>52.125364351345645</v>
      </c>
      <c r="N13" s="12">
        <f t="shared" si="7"/>
        <v>52.475963448512147</v>
      </c>
      <c r="O13" s="12"/>
    </row>
    <row r="14" spans="1:15" x14ac:dyDescent="0.35">
      <c r="A14" t="s">
        <v>102</v>
      </c>
      <c r="B14" s="18"/>
      <c r="C14" s="18"/>
      <c r="D14" s="18"/>
      <c r="E14" s="12">
        <f>-E9</f>
        <v>-35.596041427958824</v>
      </c>
      <c r="F14" s="12">
        <f t="shared" ref="F14:N14" si="8">-F9</f>
        <v>-36.633720190089001</v>
      </c>
      <c r="G14" s="12">
        <f t="shared" si="8"/>
        <v>-37.620727179116109</v>
      </c>
      <c r="H14" s="12">
        <f t="shared" si="8"/>
        <v>-39.388588775929399</v>
      </c>
      <c r="I14" s="12">
        <f t="shared" si="8"/>
        <v>-40.404477948311566</v>
      </c>
      <c r="J14" s="12">
        <f t="shared" si="8"/>
        <v>-41.463096426671711</v>
      </c>
      <c r="K14" s="12">
        <f t="shared" si="8"/>
        <v>-42.584963597494607</v>
      </c>
      <c r="L14" s="12">
        <f t="shared" si="8"/>
        <v>-43.49222836423926</v>
      </c>
      <c r="M14" s="12">
        <f t="shared" si="8"/>
        <v>-44.384911394015049</v>
      </c>
      <c r="N14" s="12">
        <f t="shared" si="8"/>
        <v>-45.238568677333852</v>
      </c>
      <c r="O14" s="12"/>
    </row>
    <row r="15" spans="1:15" x14ac:dyDescent="0.35">
      <c r="A15" t="s">
        <v>104</v>
      </c>
      <c r="B15" s="12">
        <f>BS!B6</f>
        <v>282.89999999999998</v>
      </c>
      <c r="C15" s="12">
        <f>BS!C6</f>
        <v>270.3</v>
      </c>
      <c r="D15" s="12">
        <f>BS!D6</f>
        <v>288.60000000000002</v>
      </c>
      <c r="E15" s="12">
        <f>SUM(E12:E14)</f>
        <v>302.7552495451078</v>
      </c>
      <c r="F15" s="12">
        <f t="shared" ref="F15:N15" si="9">SUM(F12:F14)</f>
        <v>316.07517657799792</v>
      </c>
      <c r="G15" s="12">
        <f t="shared" si="9"/>
        <v>328.61589194266048</v>
      </c>
      <c r="H15" s="12">
        <f t="shared" si="9"/>
        <v>339.60202205031408</v>
      </c>
      <c r="I15" s="12">
        <f t="shared" si="9"/>
        <v>349.95607241899</v>
      </c>
      <c r="J15" s="12">
        <f t="shared" si="9"/>
        <v>359.58794867969726</v>
      </c>
      <c r="K15" s="12">
        <f t="shared" si="9"/>
        <v>368.4378889451537</v>
      </c>
      <c r="L15" s="12">
        <f t="shared" si="9"/>
        <v>376.72401676308061</v>
      </c>
      <c r="M15" s="12">
        <f t="shared" si="9"/>
        <v>384.46446972041122</v>
      </c>
      <c r="N15" s="12">
        <f t="shared" si="9"/>
        <v>391.70186449158956</v>
      </c>
      <c r="O15" s="12"/>
    </row>
    <row r="17" spans="1:15" x14ac:dyDescent="0.35">
      <c r="A17" t="s">
        <v>55</v>
      </c>
      <c r="B17">
        <v>6.6</v>
      </c>
      <c r="C17">
        <v>5.7</v>
      </c>
      <c r="D17" s="6">
        <v>1.1000000000000001</v>
      </c>
      <c r="E17" s="6">
        <f>E18*E5</f>
        <v>4.2636953889209321</v>
      </c>
      <c r="F17" s="6">
        <f t="shared" ref="F17:N17" si="10">F18*F5</f>
        <v>4.2810373592054516</v>
      </c>
      <c r="G17" s="6">
        <f t="shared" si="10"/>
        <v>4.2988454589311855</v>
      </c>
      <c r="H17" s="6">
        <f t="shared" si="10"/>
        <v>4.3171232830600532</v>
      </c>
      <c r="I17" s="6">
        <f t="shared" si="10"/>
        <v>4.3500158267393099</v>
      </c>
      <c r="J17" s="6">
        <f t="shared" si="10"/>
        <v>4.3788491752335865</v>
      </c>
      <c r="K17" s="6">
        <f t="shared" si="10"/>
        <v>4.4079813436153428</v>
      </c>
      <c r="L17" s="6">
        <f t="shared" si="10"/>
        <v>4.4374152746975408</v>
      </c>
      <c r="M17" s="6">
        <f t="shared" si="10"/>
        <v>4.4671539428187241</v>
      </c>
      <c r="N17" s="6">
        <f t="shared" si="10"/>
        <v>4.4972003541723087</v>
      </c>
      <c r="O17" s="6"/>
    </row>
    <row r="18" spans="1:15" x14ac:dyDescent="0.35">
      <c r="A18" t="s">
        <v>105</v>
      </c>
      <c r="B18" s="16">
        <f>B17/B5</f>
        <v>4.3572984749455333E-3</v>
      </c>
      <c r="C18" s="16">
        <f>C17/C5</f>
        <v>4.1256514186450493E-3</v>
      </c>
      <c r="D18" s="16">
        <f>D17/D5</f>
        <v>7.9079798705966934E-4</v>
      </c>
      <c r="E18" s="20">
        <f>AVERAGE(B18:D18)</f>
        <v>3.0912492935500843E-3</v>
      </c>
      <c r="F18" s="20">
        <f>E18</f>
        <v>3.0912492935500843E-3</v>
      </c>
      <c r="G18" s="20">
        <f t="shared" ref="G18:N18" si="11">F18</f>
        <v>3.0912492935500843E-3</v>
      </c>
      <c r="H18" s="20">
        <f t="shared" si="11"/>
        <v>3.0912492935500843E-3</v>
      </c>
      <c r="I18" s="20">
        <f t="shared" si="11"/>
        <v>3.0912492935500843E-3</v>
      </c>
      <c r="J18" s="20">
        <f t="shared" si="11"/>
        <v>3.0912492935500843E-3</v>
      </c>
      <c r="K18" s="20">
        <f t="shared" si="11"/>
        <v>3.0912492935500843E-3</v>
      </c>
      <c r="L18" s="20">
        <f t="shared" si="11"/>
        <v>3.0912492935500843E-3</v>
      </c>
      <c r="M18" s="20">
        <f t="shared" si="11"/>
        <v>3.0912492935500843E-3</v>
      </c>
      <c r="N18" s="20">
        <f t="shared" si="11"/>
        <v>3.0912492935500843E-3</v>
      </c>
      <c r="O18" s="20"/>
    </row>
    <row r="20" spans="1:15" x14ac:dyDescent="0.35">
      <c r="A20" t="s">
        <v>106</v>
      </c>
      <c r="B20">
        <v>12.3</v>
      </c>
      <c r="C20">
        <v>6.8</v>
      </c>
      <c r="D20" s="12">
        <v>3.7</v>
      </c>
      <c r="E20" s="12">
        <f>E21*(E17+D26)</f>
        <v>5.7181792783511405</v>
      </c>
      <c r="F20" s="12">
        <f t="shared" ref="F20:N20" si="12">F21*(F17+E26)</f>
        <v>5.4626789372759248</v>
      </c>
      <c r="G20" s="12">
        <f t="shared" si="12"/>
        <v>4.8106802745324098</v>
      </c>
      <c r="H20" s="12">
        <f t="shared" si="12"/>
        <v>5.0221362581865527</v>
      </c>
      <c r="I20" s="12">
        <f t="shared" si="12"/>
        <v>4.858513098428153</v>
      </c>
      <c r="J20" s="12">
        <f t="shared" si="12"/>
        <v>4.714177251788561</v>
      </c>
      <c r="K20" s="12">
        <f t="shared" si="12"/>
        <v>4.7189264176052861</v>
      </c>
      <c r="L20" s="12">
        <f t="shared" si="12"/>
        <v>4.6538815391366528</v>
      </c>
      <c r="M20" s="12">
        <f t="shared" si="12"/>
        <v>4.6147968701899211</v>
      </c>
      <c r="N20" s="12">
        <f t="shared" si="12"/>
        <v>4.6052219779317856</v>
      </c>
      <c r="O20" s="12"/>
    </row>
    <row r="21" spans="1:15" x14ac:dyDescent="0.35">
      <c r="A21" t="s">
        <v>107</v>
      </c>
      <c r="B21" s="19">
        <f t="shared" ref="B21:D21" si="13">B20/B26</f>
        <v>7.2140762463343111E-2</v>
      </c>
      <c r="C21" s="19">
        <f t="shared" si="13"/>
        <v>0.22295081967213115</v>
      </c>
      <c r="D21" s="19">
        <f t="shared" si="13"/>
        <v>0.13261648745519714</v>
      </c>
      <c r="E21" s="21">
        <f>AVERAGE(C21:D21)</f>
        <v>0.17778365356366416</v>
      </c>
      <c r="F21" s="21">
        <f>AVERAGE(C21:E21)</f>
        <v>0.17778365356366418</v>
      </c>
      <c r="G21" s="21">
        <f t="shared" ref="G21:N21" si="14">AVERAGE(D21:F21)</f>
        <v>0.1627279315275085</v>
      </c>
      <c r="H21" s="21">
        <f t="shared" si="14"/>
        <v>0.17276507955161227</v>
      </c>
      <c r="I21" s="21">
        <f t="shared" si="14"/>
        <v>0.17109222154759499</v>
      </c>
      <c r="J21" s="21">
        <f t="shared" si="14"/>
        <v>0.16886174420890523</v>
      </c>
      <c r="K21" s="21">
        <f t="shared" si="14"/>
        <v>0.1709063484360375</v>
      </c>
      <c r="L21" s="21">
        <f t="shared" si="14"/>
        <v>0.17028677139751258</v>
      </c>
      <c r="M21" s="21">
        <f t="shared" si="14"/>
        <v>0.17001828801415178</v>
      </c>
      <c r="N21" s="21">
        <f t="shared" si="14"/>
        <v>0.1704038026159006</v>
      </c>
      <c r="O21" s="15"/>
    </row>
    <row r="23" spans="1:15" x14ac:dyDescent="0.35">
      <c r="A23" t="s">
        <v>108</v>
      </c>
      <c r="B23" s="17"/>
      <c r="C23" s="17"/>
      <c r="D23" s="28"/>
      <c r="E23" s="6">
        <f>D26</f>
        <v>27.9</v>
      </c>
      <c r="F23" s="6">
        <f t="shared" ref="F23:N23" si="15">E26</f>
        <v>26.445516110569788</v>
      </c>
      <c r="G23" s="6">
        <f t="shared" si="15"/>
        <v>25.263874532499315</v>
      </c>
      <c r="H23" s="6">
        <f t="shared" si="15"/>
        <v>24.752039716898093</v>
      </c>
      <c r="I23" s="6">
        <f t="shared" si="15"/>
        <v>24.047026741771592</v>
      </c>
      <c r="J23" s="6">
        <f t="shared" si="15"/>
        <v>23.53852947008275</v>
      </c>
      <c r="K23" s="6">
        <f t="shared" si="15"/>
        <v>23.203201393527777</v>
      </c>
      <c r="L23" s="6">
        <f t="shared" si="15"/>
        <v>22.892256319537836</v>
      </c>
      <c r="M23" s="6">
        <f t="shared" si="15"/>
        <v>22.675790055098727</v>
      </c>
      <c r="N23" s="6">
        <f t="shared" si="15"/>
        <v>22.528147127727529</v>
      </c>
      <c r="O23" s="6"/>
    </row>
    <row r="24" spans="1:15" x14ac:dyDescent="0.35">
      <c r="A24" t="str">
        <f>A17</f>
        <v>Expenditure on intangibles</v>
      </c>
      <c r="B24" s="17"/>
      <c r="C24" s="17"/>
      <c r="D24" s="28"/>
      <c r="E24" s="6">
        <f>E17</f>
        <v>4.2636953889209321</v>
      </c>
      <c r="F24" s="6">
        <f t="shared" ref="F24:N24" si="16">F17</f>
        <v>4.2810373592054516</v>
      </c>
      <c r="G24" s="6">
        <f t="shared" si="16"/>
        <v>4.2988454589311855</v>
      </c>
      <c r="H24" s="6">
        <f t="shared" si="16"/>
        <v>4.3171232830600532</v>
      </c>
      <c r="I24" s="6">
        <f t="shared" si="16"/>
        <v>4.3500158267393099</v>
      </c>
      <c r="J24" s="6">
        <f t="shared" si="16"/>
        <v>4.3788491752335865</v>
      </c>
      <c r="K24" s="6">
        <f t="shared" si="16"/>
        <v>4.4079813436153428</v>
      </c>
      <c r="L24" s="6">
        <f t="shared" si="16"/>
        <v>4.4374152746975408</v>
      </c>
      <c r="M24" s="6">
        <f t="shared" si="16"/>
        <v>4.4671539428187241</v>
      </c>
      <c r="N24" s="6">
        <f t="shared" si="16"/>
        <v>4.4972003541723087</v>
      </c>
      <c r="O24" s="6"/>
    </row>
    <row r="25" spans="1:15" x14ac:dyDescent="0.35">
      <c r="A25" t="str">
        <f>A20</f>
        <v>Amortisation expense</v>
      </c>
      <c r="B25" s="17"/>
      <c r="C25" s="17"/>
      <c r="D25" s="28"/>
      <c r="E25" s="6">
        <f>-E20</f>
        <v>-5.7181792783511405</v>
      </c>
      <c r="F25" s="6">
        <f t="shared" ref="F25:N25" si="17">-F20</f>
        <v>-5.4626789372759248</v>
      </c>
      <c r="G25" s="6">
        <f t="shared" si="17"/>
        <v>-4.8106802745324098</v>
      </c>
      <c r="H25" s="6">
        <f t="shared" si="17"/>
        <v>-5.0221362581865527</v>
      </c>
      <c r="I25" s="6">
        <f t="shared" si="17"/>
        <v>-4.858513098428153</v>
      </c>
      <c r="J25" s="6">
        <f t="shared" si="17"/>
        <v>-4.714177251788561</v>
      </c>
      <c r="K25" s="6">
        <f t="shared" si="17"/>
        <v>-4.7189264176052861</v>
      </c>
      <c r="L25" s="6">
        <f t="shared" si="17"/>
        <v>-4.6538815391366528</v>
      </c>
      <c r="M25" s="6">
        <f t="shared" si="17"/>
        <v>-4.6147968701899211</v>
      </c>
      <c r="N25" s="6">
        <f t="shared" si="17"/>
        <v>-4.6052219779317856</v>
      </c>
      <c r="O25" s="6"/>
    </row>
    <row r="26" spans="1:15" x14ac:dyDescent="0.35">
      <c r="A26" t="s">
        <v>109</v>
      </c>
      <c r="B26" s="6">
        <f>BS!B8</f>
        <v>170.5</v>
      </c>
      <c r="C26" s="6">
        <f>BS!C8</f>
        <v>30.5</v>
      </c>
      <c r="D26" s="6">
        <f>BS!D8</f>
        <v>27.9</v>
      </c>
      <c r="E26" s="6">
        <f>SUM(E23:E25)</f>
        <v>26.445516110569788</v>
      </c>
      <c r="F26" s="6">
        <f t="shared" ref="F26:N26" si="18">SUM(F23:F25)</f>
        <v>25.263874532499315</v>
      </c>
      <c r="G26" s="6">
        <f t="shared" si="18"/>
        <v>24.752039716898093</v>
      </c>
      <c r="H26" s="6">
        <f t="shared" si="18"/>
        <v>24.047026741771592</v>
      </c>
      <c r="I26" s="6">
        <f t="shared" si="18"/>
        <v>23.53852947008275</v>
      </c>
      <c r="J26" s="6">
        <f t="shared" si="18"/>
        <v>23.203201393527777</v>
      </c>
      <c r="K26" s="6">
        <f t="shared" si="18"/>
        <v>22.892256319537836</v>
      </c>
      <c r="L26" s="6">
        <f t="shared" si="18"/>
        <v>22.675790055098727</v>
      </c>
      <c r="M26" s="6">
        <f t="shared" si="18"/>
        <v>22.528147127727529</v>
      </c>
      <c r="N26" s="6">
        <f t="shared" si="18"/>
        <v>22.420125503968052</v>
      </c>
      <c r="O26" s="6"/>
    </row>
    <row r="28" spans="1:15" x14ac:dyDescent="0.35">
      <c r="A28" t="s">
        <v>57</v>
      </c>
      <c r="B28" s="6">
        <f>B6+B17</f>
        <v>55.2</v>
      </c>
      <c r="C28" s="6">
        <f>C6+C17</f>
        <v>48.5</v>
      </c>
      <c r="D28" s="6">
        <f>D6+D17</f>
        <v>63.9</v>
      </c>
      <c r="E28" s="6">
        <f>E6+E17</f>
        <v>54.014986361987503</v>
      </c>
      <c r="F28" s="6">
        <f t="shared" ref="F28:M28" si="19">F6+F17</f>
        <v>54.23468458218457</v>
      </c>
      <c r="G28" s="6">
        <f t="shared" si="19"/>
        <v>54.460288002709845</v>
      </c>
      <c r="H28" s="6">
        <f t="shared" si="19"/>
        <v>54.691842166643085</v>
      </c>
      <c r="I28" s="6">
        <f t="shared" si="19"/>
        <v>55.10854414372681</v>
      </c>
      <c r="J28" s="6">
        <f t="shared" si="19"/>
        <v>55.473821862612581</v>
      </c>
      <c r="K28" s="6">
        <f t="shared" si="19"/>
        <v>55.842885206566407</v>
      </c>
      <c r="L28" s="6">
        <f t="shared" si="19"/>
        <v>56.215771456863713</v>
      </c>
      <c r="M28" s="6">
        <f t="shared" si="19"/>
        <v>56.592518294164371</v>
      </c>
      <c r="N28" s="6">
        <f>N6+N17</f>
        <v>56.973163802684454</v>
      </c>
      <c r="O28" s="6"/>
    </row>
    <row r="29" spans="1:15" x14ac:dyDescent="0.35">
      <c r="A29" t="s">
        <v>56</v>
      </c>
      <c r="B29" s="6">
        <f>B9+B20</f>
        <v>43.2</v>
      </c>
      <c r="C29" s="6">
        <f>C9+C20</f>
        <v>35.799999999999997</v>
      </c>
      <c r="D29" s="6">
        <f>D9+D20</f>
        <v>32.300000000000004</v>
      </c>
      <c r="E29" s="6">
        <f>E20+E9</f>
        <v>41.314220706309968</v>
      </c>
      <c r="F29" s="6">
        <f t="shared" ref="F29:N29" si="20">F20+F9</f>
        <v>42.096399127364926</v>
      </c>
      <c r="G29" s="6">
        <f t="shared" si="20"/>
        <v>42.431407453648518</v>
      </c>
      <c r="H29" s="6">
        <f t="shared" si="20"/>
        <v>44.410725034115956</v>
      </c>
      <c r="I29" s="6">
        <f t="shared" si="20"/>
        <v>45.262991046739721</v>
      </c>
      <c r="J29" s="6">
        <f t="shared" si="20"/>
        <v>46.177273678460274</v>
      </c>
      <c r="K29" s="6">
        <f t="shared" si="20"/>
        <v>47.303890015099896</v>
      </c>
      <c r="L29" s="6">
        <f t="shared" si="20"/>
        <v>48.146109903375915</v>
      </c>
      <c r="M29" s="6">
        <f t="shared" si="20"/>
        <v>48.999708264204969</v>
      </c>
      <c r="N29" s="6">
        <f t="shared" si="20"/>
        <v>49.843790655265636</v>
      </c>
      <c r="O29" s="6"/>
    </row>
  </sheetData>
  <mergeCells count="1">
    <mergeCell ref="A1:M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P32"/>
  <sheetViews>
    <sheetView tabSelected="1" zoomScale="90" zoomScaleNormal="90" workbookViewId="0">
      <selection activeCell="E27" sqref="E27"/>
    </sheetView>
  </sheetViews>
  <sheetFormatPr defaultRowHeight="14.5" x14ac:dyDescent="0.35"/>
  <cols>
    <col min="1" max="1" width="38.453125" bestFit="1" customWidth="1"/>
    <col min="3" max="15" width="10" bestFit="1" customWidth="1"/>
    <col min="16" max="16" width="9.54296875" bestFit="1" customWidth="1"/>
  </cols>
  <sheetData>
    <row r="1" spans="1:16" x14ac:dyDescent="0.35">
      <c r="A1" s="117" t="s">
        <v>33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37"/>
    </row>
    <row r="2" spans="1:16" x14ac:dyDescent="0.35">
      <c r="A2" t="str">
        <f>'D&amp;A'!A2</f>
        <v>All numbers are in millions of £</v>
      </c>
    </row>
    <row r="3" spans="1:16" x14ac:dyDescent="0.35">
      <c r="C3">
        <f>'D&amp;A'!B3</f>
        <v>2012</v>
      </c>
      <c r="D3">
        <f>'D&amp;A'!C3</f>
        <v>2013</v>
      </c>
      <c r="E3" s="38">
        <f>'D&amp;A'!D3</f>
        <v>2014</v>
      </c>
      <c r="F3">
        <f>'D&amp;A'!E3</f>
        <v>2015</v>
      </c>
      <c r="G3">
        <f>'D&amp;A'!F3</f>
        <v>2016</v>
      </c>
      <c r="H3">
        <f>'D&amp;A'!G3</f>
        <v>2017</v>
      </c>
      <c r="I3">
        <f>'D&amp;A'!H3</f>
        <v>2018</v>
      </c>
      <c r="J3">
        <f>'D&amp;A'!I3</f>
        <v>2019</v>
      </c>
      <c r="K3">
        <f>'D&amp;A'!J3</f>
        <v>2020</v>
      </c>
      <c r="L3">
        <f>'D&amp;A'!K3</f>
        <v>2021</v>
      </c>
      <c r="M3">
        <f>'D&amp;A'!L3</f>
        <v>2022</v>
      </c>
      <c r="N3">
        <f>'D&amp;A'!M3</f>
        <v>2023</v>
      </c>
      <c r="O3">
        <f>N3+1</f>
        <v>2024</v>
      </c>
    </row>
    <row r="4" spans="1:16" x14ac:dyDescent="0.35">
      <c r="A4" t="s">
        <v>1</v>
      </c>
      <c r="C4" s="12">
        <f>'IS-CF'!B5</f>
        <v>1514.7</v>
      </c>
      <c r="D4" s="12">
        <f>'IS-CF'!C5</f>
        <v>1381.6</v>
      </c>
      <c r="E4" s="39">
        <f>'IS-CF'!D5</f>
        <v>1391</v>
      </c>
      <c r="F4" s="12">
        <f>'IS-CF'!I5</f>
        <v>1379.2790500000001</v>
      </c>
      <c r="G4" s="12">
        <f>'IS-CF'!J5</f>
        <v>1384.889069975</v>
      </c>
      <c r="H4" s="12">
        <f>'IS-CF'!K5</f>
        <v>1390.6498799371375</v>
      </c>
      <c r="I4" s="12">
        <f>'IS-CF'!L5</f>
        <v>1396.5626428343273</v>
      </c>
      <c r="J4" s="12">
        <f>'IS-CF'!M5</f>
        <v>1407.2031769859686</v>
      </c>
      <c r="K4" s="12">
        <f>'IS-CF'!N5</f>
        <v>1416.5305866369592</v>
      </c>
      <c r="L4" s="12">
        <f>'IS-CF'!O5</f>
        <v>1425.9546626707299</v>
      </c>
      <c r="M4" s="12">
        <f>'IS-CF'!P5</f>
        <v>1435.4763570690473</v>
      </c>
      <c r="N4" s="12">
        <f>'IS-CF'!Q5</f>
        <v>1445.0966320120074</v>
      </c>
      <c r="O4" s="12">
        <f>'IS-CF'!R5</f>
        <v>1454.8164599845611</v>
      </c>
      <c r="P4" s="12"/>
    </row>
    <row r="5" spans="1:16" x14ac:dyDescent="0.35">
      <c r="A5" t="s">
        <v>126</v>
      </c>
      <c r="C5" s="12">
        <f>'IS-CF'!B6</f>
        <v>1063.3</v>
      </c>
      <c r="D5" s="12">
        <f>'IS-CF'!C6</f>
        <v>972.40000000000009</v>
      </c>
      <c r="E5" s="39">
        <f>'IS-CF'!D6</f>
        <v>1008.1000000000001</v>
      </c>
      <c r="F5" s="12">
        <f>'IS-CF'!I6</f>
        <v>979.53605459254015</v>
      </c>
      <c r="G5" s="12">
        <f>'IS-CF'!J6</f>
        <v>983.52017719086189</v>
      </c>
      <c r="H5" s="12">
        <f>'IS-CF'!K6</f>
        <v>987.61138778495422</v>
      </c>
      <c r="I5" s="12">
        <f>'IS-CF'!L6</f>
        <v>991.81051227687954</v>
      </c>
      <c r="J5" s="12">
        <f>'IS-CF'!M6</f>
        <v>999.36720418897369</v>
      </c>
      <c r="K5" s="12">
        <f>'IS-CF'!N6</f>
        <v>1005.9913416679702</v>
      </c>
      <c r="L5" s="12">
        <f>'IS-CF'!O6</f>
        <v>1012.684129654781</v>
      </c>
      <c r="M5" s="12">
        <f>'IS-CF'!P6</f>
        <v>1019.4462442275817</v>
      </c>
      <c r="N5" s="12">
        <f>'IS-CF'!Q6</f>
        <v>1026.2783687071949</v>
      </c>
      <c r="O5" s="12">
        <f>'IS-CF'!R6</f>
        <v>1033.1811937327425</v>
      </c>
      <c r="P5" s="12"/>
    </row>
    <row r="6" spans="1:16" x14ac:dyDescent="0.35">
      <c r="E6" s="38"/>
    </row>
    <row r="7" spans="1:16" x14ac:dyDescent="0.35">
      <c r="A7" s="4" t="s">
        <v>110</v>
      </c>
      <c r="E7" s="38"/>
    </row>
    <row r="8" spans="1:16" x14ac:dyDescent="0.35">
      <c r="A8" t="str">
        <f>BS!A16</f>
        <v>Inventories</v>
      </c>
      <c r="C8" s="12">
        <f>BS!B16</f>
        <v>187.8</v>
      </c>
      <c r="D8" s="12">
        <f>BS!C16</f>
        <v>208.2</v>
      </c>
      <c r="E8" s="39">
        <f>BS!D16</f>
        <v>219.6</v>
      </c>
      <c r="F8" s="12">
        <f>F5*F26/$B$24</f>
        <v>213.37775775074076</v>
      </c>
      <c r="G8" s="12">
        <f t="shared" ref="G8:O8" si="0">G5*G26/$B$24</f>
        <v>214.24564121725345</v>
      </c>
      <c r="H8" s="12">
        <f t="shared" si="0"/>
        <v>215.13685225431595</v>
      </c>
      <c r="I8" s="12">
        <f t="shared" si="0"/>
        <v>216.05157077274347</v>
      </c>
      <c r="J8" s="12">
        <f t="shared" si="0"/>
        <v>217.69768677700486</v>
      </c>
      <c r="K8" s="12">
        <f t="shared" si="0"/>
        <v>219.14065929003692</v>
      </c>
      <c r="L8" s="12">
        <f t="shared" si="0"/>
        <v>220.59858632297377</v>
      </c>
      <c r="M8" s="12">
        <f t="shared" si="0"/>
        <v>222.07161514966464</v>
      </c>
      <c r="N8" s="12">
        <f t="shared" si="0"/>
        <v>223.55989462166445</v>
      </c>
      <c r="O8" s="12">
        <f t="shared" si="0"/>
        <v>225.06357518471404</v>
      </c>
      <c r="P8" s="12"/>
    </row>
    <row r="9" spans="1:16" x14ac:dyDescent="0.35">
      <c r="A9" t="str">
        <f>BS!A17</f>
        <v>Trade receivables</v>
      </c>
      <c r="C9" s="12">
        <f>BS!B17</f>
        <v>131.5</v>
      </c>
      <c r="D9" s="12">
        <f>BS!C17</f>
        <v>98.8</v>
      </c>
      <c r="E9" s="39">
        <f>BS!D17</f>
        <v>118.4</v>
      </c>
      <c r="F9" s="12">
        <f>F4*F27/$B$24</f>
        <v>111.92655567985358</v>
      </c>
      <c r="G9" s="12">
        <f t="shared" ref="G9:O9" si="1">G4*G27/$B$24</f>
        <v>112.38180091329411</v>
      </c>
      <c r="H9" s="12">
        <f t="shared" si="1"/>
        <v>112.84928254218441</v>
      </c>
      <c r="I9" s="12">
        <f t="shared" si="1"/>
        <v>113.32909493811262</v>
      </c>
      <c r="J9" s="12">
        <f t="shared" si="1"/>
        <v>114.19255932422583</v>
      </c>
      <c r="K9" s="12">
        <f t="shared" si="1"/>
        <v>114.94946550332745</v>
      </c>
      <c r="L9" s="12">
        <f t="shared" si="1"/>
        <v>115.71421602348144</v>
      </c>
      <c r="M9" s="12">
        <f t="shared" si="1"/>
        <v>116.48688813666971</v>
      </c>
      <c r="N9" s="12">
        <f t="shared" si="1"/>
        <v>117.26755992245427</v>
      </c>
      <c r="O9" s="12">
        <f t="shared" si="1"/>
        <v>118.05631029662158</v>
      </c>
      <c r="P9" s="12"/>
    </row>
    <row r="10" spans="1:16" x14ac:dyDescent="0.35">
      <c r="C10" s="12"/>
      <c r="D10" s="12"/>
      <c r="E10" s="39"/>
      <c r="F10" s="12"/>
      <c r="G10" s="12"/>
      <c r="H10" s="12"/>
      <c r="I10" s="12"/>
    </row>
    <row r="11" spans="1:16" x14ac:dyDescent="0.35">
      <c r="A11" s="4" t="s">
        <v>111</v>
      </c>
      <c r="B11" s="4"/>
      <c r="C11" s="13">
        <f>SUM(C8:C9)</f>
        <v>319.3</v>
      </c>
      <c r="D11" s="13">
        <f>SUM(D8:D9)</f>
        <v>307</v>
      </c>
      <c r="E11" s="85">
        <f>SUM(E8:E9)</f>
        <v>338</v>
      </c>
      <c r="F11" s="13">
        <f>SUM(F8:F9)</f>
        <v>325.30431343059433</v>
      </c>
      <c r="G11" s="13">
        <f t="shared" ref="G11:O11" si="2">SUM(G8:G9)</f>
        <v>326.62744213054759</v>
      </c>
      <c r="H11" s="13">
        <f t="shared" si="2"/>
        <v>327.98613479650038</v>
      </c>
      <c r="I11" s="13">
        <f t="shared" si="2"/>
        <v>329.38066571085608</v>
      </c>
      <c r="J11" s="13">
        <f t="shared" si="2"/>
        <v>331.89024610123067</v>
      </c>
      <c r="K11" s="13">
        <f t="shared" si="2"/>
        <v>334.09012479336434</v>
      </c>
      <c r="L11" s="13">
        <f t="shared" si="2"/>
        <v>336.31280234645521</v>
      </c>
      <c r="M11" s="13">
        <f t="shared" si="2"/>
        <v>338.55850328633437</v>
      </c>
      <c r="N11" s="13">
        <f t="shared" si="2"/>
        <v>340.82745454411872</v>
      </c>
      <c r="O11" s="13">
        <f t="shared" si="2"/>
        <v>343.11988548133559</v>
      </c>
      <c r="P11" s="13"/>
    </row>
    <row r="12" spans="1:16" x14ac:dyDescent="0.35">
      <c r="C12" s="12"/>
      <c r="D12" s="12"/>
      <c r="E12" s="39"/>
      <c r="F12" s="12"/>
      <c r="G12" s="12"/>
      <c r="H12" s="12"/>
      <c r="I12" s="12"/>
    </row>
    <row r="13" spans="1:16" x14ac:dyDescent="0.35">
      <c r="A13" t="str">
        <f>BS!A34</f>
        <v>Trade payables</v>
      </c>
      <c r="C13" s="12">
        <f>BS!B34</f>
        <v>266.39999999999998</v>
      </c>
      <c r="D13" s="12">
        <f>BS!C34</f>
        <v>221.8</v>
      </c>
      <c r="E13" s="39">
        <f>BS!D34</f>
        <v>218.3</v>
      </c>
      <c r="F13" s="12">
        <f>F5*F29/$B$24</f>
        <v>212.11459251815447</v>
      </c>
      <c r="G13" s="12">
        <f t="shared" ref="G13:O13" si="3">G5*G29/$B$24</f>
        <v>212.97733824101292</v>
      </c>
      <c r="H13" s="12">
        <f t="shared" si="3"/>
        <v>213.86327343860282</v>
      </c>
      <c r="I13" s="12">
        <f t="shared" si="3"/>
        <v>214.77257695669357</v>
      </c>
      <c r="J13" s="12">
        <f t="shared" si="3"/>
        <v>216.40894819408086</v>
      </c>
      <c r="K13" s="12">
        <f t="shared" si="3"/>
        <v>217.84337852010503</v>
      </c>
      <c r="L13" s="12">
        <f t="shared" si="3"/>
        <v>219.29267483745531</v>
      </c>
      <c r="M13" s="12">
        <f t="shared" si="3"/>
        <v>220.75698354814114</v>
      </c>
      <c r="N13" s="12">
        <f t="shared" si="3"/>
        <v>222.23645262253808</v>
      </c>
      <c r="O13" s="12">
        <f t="shared" si="3"/>
        <v>223.73123161576993</v>
      </c>
      <c r="P13" s="12"/>
    </row>
    <row r="14" spans="1:16" x14ac:dyDescent="0.35">
      <c r="A14" t="str">
        <f>BS!A37</f>
        <v>Current tax liabilities</v>
      </c>
      <c r="C14" s="12">
        <f>BS!B37</f>
        <v>0.7</v>
      </c>
      <c r="D14" s="12">
        <f>BS!C37</f>
        <v>2.6</v>
      </c>
      <c r="E14" s="39">
        <f>BS!D37</f>
        <v>3.6</v>
      </c>
      <c r="F14" s="12">
        <f>E14</f>
        <v>3.6</v>
      </c>
      <c r="G14" s="12">
        <f t="shared" ref="G14:O14" si="4">F14</f>
        <v>3.6</v>
      </c>
      <c r="H14" s="12">
        <f t="shared" si="4"/>
        <v>3.6</v>
      </c>
      <c r="I14" s="12">
        <f t="shared" si="4"/>
        <v>3.6</v>
      </c>
      <c r="J14" s="12">
        <f t="shared" si="4"/>
        <v>3.6</v>
      </c>
      <c r="K14" s="12">
        <f t="shared" si="4"/>
        <v>3.6</v>
      </c>
      <c r="L14" s="12">
        <f t="shared" si="4"/>
        <v>3.6</v>
      </c>
      <c r="M14" s="12">
        <f t="shared" si="4"/>
        <v>3.6</v>
      </c>
      <c r="N14" s="12">
        <f t="shared" si="4"/>
        <v>3.6</v>
      </c>
      <c r="O14" s="12">
        <f t="shared" si="4"/>
        <v>3.6</v>
      </c>
      <c r="P14" s="12"/>
    </row>
    <row r="15" spans="1:16" x14ac:dyDescent="0.35">
      <c r="A15" t="str">
        <f>BS!A38</f>
        <v>Deferred income</v>
      </c>
      <c r="C15" s="12">
        <f>BS!B38</f>
        <v>0.6</v>
      </c>
      <c r="D15" s="12">
        <f>BS!C38</f>
        <v>1.6</v>
      </c>
      <c r="E15" s="39">
        <f>BS!D38</f>
        <v>1.7</v>
      </c>
      <c r="F15" s="12">
        <f t="shared" ref="F15:O15" si="5">E15</f>
        <v>1.7</v>
      </c>
      <c r="G15" s="12">
        <f t="shared" si="5"/>
        <v>1.7</v>
      </c>
      <c r="H15" s="12">
        <f t="shared" si="5"/>
        <v>1.7</v>
      </c>
      <c r="I15" s="12">
        <f t="shared" si="5"/>
        <v>1.7</v>
      </c>
      <c r="J15" s="12">
        <f t="shared" si="5"/>
        <v>1.7</v>
      </c>
      <c r="K15" s="12">
        <f t="shared" si="5"/>
        <v>1.7</v>
      </c>
      <c r="L15" s="12">
        <f t="shared" si="5"/>
        <v>1.7</v>
      </c>
      <c r="M15" s="12">
        <f t="shared" si="5"/>
        <v>1.7</v>
      </c>
      <c r="N15" s="12">
        <f t="shared" si="5"/>
        <v>1.7</v>
      </c>
      <c r="O15" s="12">
        <f t="shared" si="5"/>
        <v>1.7</v>
      </c>
      <c r="P15" s="12"/>
    </row>
    <row r="16" spans="1:16" x14ac:dyDescent="0.35">
      <c r="A16" t="str">
        <f>BS!A39</f>
        <v>Provisions</v>
      </c>
      <c r="C16" s="12">
        <f>BS!B39</f>
        <v>2.2999999999999998</v>
      </c>
      <c r="D16" s="12">
        <f>BS!C39</f>
        <v>1.7</v>
      </c>
      <c r="E16" s="39">
        <f>BS!D39</f>
        <v>1.7</v>
      </c>
      <c r="F16" s="12">
        <f t="shared" ref="F16:O16" si="6">E16</f>
        <v>1.7</v>
      </c>
      <c r="G16" s="12">
        <f t="shared" si="6"/>
        <v>1.7</v>
      </c>
      <c r="H16" s="12">
        <f t="shared" si="6"/>
        <v>1.7</v>
      </c>
      <c r="I16" s="12">
        <f t="shared" si="6"/>
        <v>1.7</v>
      </c>
      <c r="J16" s="12">
        <f t="shared" si="6"/>
        <v>1.7</v>
      </c>
      <c r="K16" s="12">
        <f t="shared" si="6"/>
        <v>1.7</v>
      </c>
      <c r="L16" s="12">
        <f t="shared" si="6"/>
        <v>1.7</v>
      </c>
      <c r="M16" s="12">
        <f t="shared" si="6"/>
        <v>1.7</v>
      </c>
      <c r="N16" s="12">
        <f t="shared" si="6"/>
        <v>1.7</v>
      </c>
      <c r="O16" s="12">
        <f t="shared" si="6"/>
        <v>1.7</v>
      </c>
      <c r="P16" s="12"/>
    </row>
    <row r="17" spans="1:16" x14ac:dyDescent="0.35">
      <c r="C17" s="12"/>
      <c r="D17" s="12"/>
      <c r="E17" s="3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x14ac:dyDescent="0.35">
      <c r="A18" s="4" t="s">
        <v>112</v>
      </c>
      <c r="B18" s="4"/>
      <c r="C18" s="13">
        <f>SUM(C13:C16)</f>
        <v>270</v>
      </c>
      <c r="D18" s="13">
        <f t="shared" ref="D18:E18" si="7">SUM(D13:D16)</f>
        <v>227.7</v>
      </c>
      <c r="E18" s="85">
        <f t="shared" si="7"/>
        <v>225.29999999999998</v>
      </c>
      <c r="F18" s="13">
        <f>SUM(F13:F16)</f>
        <v>219.11459251815444</v>
      </c>
      <c r="G18" s="13">
        <f t="shared" ref="G18:O18" si="8">SUM(G13:G16)</f>
        <v>219.97733824101289</v>
      </c>
      <c r="H18" s="13">
        <f t="shared" si="8"/>
        <v>220.86327343860279</v>
      </c>
      <c r="I18" s="13">
        <f t="shared" si="8"/>
        <v>221.77257695669354</v>
      </c>
      <c r="J18" s="13">
        <f t="shared" si="8"/>
        <v>223.40894819408084</v>
      </c>
      <c r="K18" s="13">
        <f t="shared" si="8"/>
        <v>224.84337852010501</v>
      </c>
      <c r="L18" s="13">
        <f t="shared" si="8"/>
        <v>226.29267483745528</v>
      </c>
      <c r="M18" s="13">
        <f t="shared" si="8"/>
        <v>227.75698354814111</v>
      </c>
      <c r="N18" s="13">
        <f t="shared" si="8"/>
        <v>229.23645262253805</v>
      </c>
      <c r="O18" s="13">
        <f t="shared" si="8"/>
        <v>230.7312316157699</v>
      </c>
      <c r="P18" s="13"/>
    </row>
    <row r="19" spans="1:16" x14ac:dyDescent="0.35">
      <c r="C19" s="12"/>
      <c r="D19" s="12"/>
      <c r="E19" s="39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x14ac:dyDescent="0.35">
      <c r="A20" t="s">
        <v>113</v>
      </c>
      <c r="C20" s="12">
        <f>C11-C18</f>
        <v>49.300000000000011</v>
      </c>
      <c r="D20" s="12">
        <f t="shared" ref="D20:E20" si="9">D11-D18</f>
        <v>79.300000000000011</v>
      </c>
      <c r="E20" s="39">
        <f t="shared" si="9"/>
        <v>112.70000000000002</v>
      </c>
      <c r="F20" s="12">
        <f>F11-F18</f>
        <v>106.1897209124399</v>
      </c>
      <c r="G20" s="12">
        <f t="shared" ref="G20:O20" si="10">G11-G18</f>
        <v>106.65010388953471</v>
      </c>
      <c r="H20" s="12">
        <f t="shared" si="10"/>
        <v>107.12286135789759</v>
      </c>
      <c r="I20" s="12">
        <f t="shared" si="10"/>
        <v>107.60808875416254</v>
      </c>
      <c r="J20" s="12">
        <f t="shared" si="10"/>
        <v>108.48129790714984</v>
      </c>
      <c r="K20" s="12">
        <f t="shared" si="10"/>
        <v>109.24674627325933</v>
      </c>
      <c r="L20" s="12">
        <f t="shared" si="10"/>
        <v>110.02012750899993</v>
      </c>
      <c r="M20" s="12">
        <f t="shared" si="10"/>
        <v>110.80151973819326</v>
      </c>
      <c r="N20" s="12">
        <f t="shared" si="10"/>
        <v>111.59100192158067</v>
      </c>
      <c r="O20" s="12">
        <f t="shared" si="10"/>
        <v>112.38865386556569</v>
      </c>
      <c r="P20" s="12"/>
    </row>
    <row r="21" spans="1:16" x14ac:dyDescent="0.35">
      <c r="A21" t="s">
        <v>183</v>
      </c>
      <c r="C21" s="12"/>
      <c r="D21" s="12">
        <f>D20-C20</f>
        <v>30</v>
      </c>
      <c r="E21" s="39">
        <f>E20-D20</f>
        <v>33.400000000000006</v>
      </c>
      <c r="F21" s="12">
        <f t="shared" ref="F21:O21" si="11">F20-E20</f>
        <v>-6.5102790875601215</v>
      </c>
      <c r="G21" s="12">
        <f t="shared" si="11"/>
        <v>0.46038297709480958</v>
      </c>
      <c r="H21" s="12">
        <f t="shared" si="11"/>
        <v>0.4727574683628859</v>
      </c>
      <c r="I21" s="12">
        <f t="shared" si="11"/>
        <v>0.48522739626494626</v>
      </c>
      <c r="J21" s="12">
        <f t="shared" si="11"/>
        <v>0.87320915298730029</v>
      </c>
      <c r="K21" s="12">
        <f t="shared" si="11"/>
        <v>0.76544836610949574</v>
      </c>
      <c r="L21" s="12">
        <f t="shared" si="11"/>
        <v>0.77338123574060091</v>
      </c>
      <c r="M21" s="12">
        <f t="shared" si="11"/>
        <v>0.78139222919332951</v>
      </c>
      <c r="N21" s="12">
        <f t="shared" si="11"/>
        <v>0.78948218338740617</v>
      </c>
      <c r="O21" s="12">
        <f t="shared" si="11"/>
        <v>0.79765194398501649</v>
      </c>
      <c r="P21" s="12"/>
    </row>
    <row r="22" spans="1:16" x14ac:dyDescent="0.35">
      <c r="E22" s="38"/>
    </row>
    <row r="23" spans="1:16" ht="15" thickBot="1" x14ac:dyDescent="0.4">
      <c r="A23" s="2" t="s">
        <v>35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6" ht="15" thickBot="1" x14ac:dyDescent="0.4">
      <c r="A24" t="s">
        <v>114</v>
      </c>
      <c r="B24" s="102">
        <v>365</v>
      </c>
    </row>
    <row r="26" spans="1:16" x14ac:dyDescent="0.35">
      <c r="A26" t="s">
        <v>36</v>
      </c>
      <c r="C26" s="6">
        <f>C8/C5*$B$24</f>
        <v>64.466284209536354</v>
      </c>
      <c r="D26" s="6">
        <f t="shared" ref="D26" si="12">D8/D5*$B$24</f>
        <v>78.149938296997107</v>
      </c>
      <c r="E26" s="6">
        <f>E8/E5*$B$24</f>
        <v>79.509969249082417</v>
      </c>
      <c r="F26" s="6">
        <f>E26</f>
        <v>79.509969249082417</v>
      </c>
      <c r="G26" s="6">
        <f t="shared" ref="G26:O26" si="13">F26</f>
        <v>79.509969249082417</v>
      </c>
      <c r="H26" s="6">
        <f t="shared" si="13"/>
        <v>79.509969249082417</v>
      </c>
      <c r="I26" s="6">
        <f t="shared" si="13"/>
        <v>79.509969249082417</v>
      </c>
      <c r="J26" s="6">
        <f t="shared" si="13"/>
        <v>79.509969249082417</v>
      </c>
      <c r="K26" s="6">
        <f t="shared" si="13"/>
        <v>79.509969249082417</v>
      </c>
      <c r="L26" s="6">
        <f t="shared" si="13"/>
        <v>79.509969249082417</v>
      </c>
      <c r="M26" s="6">
        <f t="shared" si="13"/>
        <v>79.509969249082417</v>
      </c>
      <c r="N26" s="6">
        <f t="shared" si="13"/>
        <v>79.509969249082417</v>
      </c>
      <c r="O26" s="6">
        <f t="shared" si="13"/>
        <v>79.509969249082417</v>
      </c>
      <c r="P26" s="6"/>
    </row>
    <row r="27" spans="1:16" x14ac:dyDescent="0.35">
      <c r="A27" t="s">
        <v>37</v>
      </c>
      <c r="C27" s="6">
        <f>C9/C4*$B$24</f>
        <v>31.687792962302765</v>
      </c>
      <c r="D27" s="6">
        <f t="shared" ref="D27:E27" si="14">D9/D4*$B$24</f>
        <v>26.101621308627678</v>
      </c>
      <c r="E27" s="6">
        <f t="shared" si="14"/>
        <v>31.068296189791518</v>
      </c>
      <c r="F27" s="6">
        <f>AVERAGE(C27:E27)</f>
        <v>29.619236820240655</v>
      </c>
      <c r="G27" s="6">
        <f>F27</f>
        <v>29.619236820240655</v>
      </c>
      <c r="H27" s="6">
        <f t="shared" ref="H27:O27" si="15">G27</f>
        <v>29.619236820240655</v>
      </c>
      <c r="I27" s="6">
        <f t="shared" si="15"/>
        <v>29.619236820240655</v>
      </c>
      <c r="J27" s="6">
        <f t="shared" si="15"/>
        <v>29.619236820240655</v>
      </c>
      <c r="K27" s="6">
        <f t="shared" si="15"/>
        <v>29.619236820240655</v>
      </c>
      <c r="L27" s="6">
        <f t="shared" si="15"/>
        <v>29.619236820240655</v>
      </c>
      <c r="M27" s="6">
        <f t="shared" si="15"/>
        <v>29.619236820240655</v>
      </c>
      <c r="N27" s="6">
        <f t="shared" si="15"/>
        <v>29.619236820240655</v>
      </c>
      <c r="O27" s="6">
        <f t="shared" si="15"/>
        <v>29.619236820240655</v>
      </c>
      <c r="P27" s="6"/>
    </row>
    <row r="29" spans="1:16" x14ac:dyDescent="0.35">
      <c r="A29" t="s">
        <v>115</v>
      </c>
      <c r="C29" s="6">
        <f>C13/C5*$B$24</f>
        <v>91.447380795636221</v>
      </c>
      <c r="D29" s="6">
        <f t="shared" ref="D29:E29" si="16">D13/D5*$B$24</f>
        <v>83.254833401892228</v>
      </c>
      <c r="E29" s="6">
        <f t="shared" si="16"/>
        <v>79.039281817280028</v>
      </c>
      <c r="F29" s="6">
        <f>E29</f>
        <v>79.039281817280028</v>
      </c>
      <c r="G29" s="6">
        <f t="shared" ref="G29:O29" si="17">F29</f>
        <v>79.039281817280028</v>
      </c>
      <c r="H29" s="6">
        <f t="shared" si="17"/>
        <v>79.039281817280028</v>
      </c>
      <c r="I29" s="6">
        <f t="shared" si="17"/>
        <v>79.039281817280028</v>
      </c>
      <c r="J29" s="6">
        <f t="shared" si="17"/>
        <v>79.039281817280028</v>
      </c>
      <c r="K29" s="6">
        <f t="shared" si="17"/>
        <v>79.039281817280028</v>
      </c>
      <c r="L29" s="6">
        <f t="shared" si="17"/>
        <v>79.039281817280028</v>
      </c>
      <c r="M29" s="6">
        <f t="shared" si="17"/>
        <v>79.039281817280028</v>
      </c>
      <c r="N29" s="6">
        <f t="shared" si="17"/>
        <v>79.039281817280028</v>
      </c>
      <c r="O29" s="6">
        <f t="shared" si="17"/>
        <v>79.039281817280028</v>
      </c>
      <c r="P29" s="6"/>
    </row>
    <row r="30" spans="1:16" x14ac:dyDescent="0.35">
      <c r="C30" s="19"/>
      <c r="D30" s="19"/>
      <c r="E30" s="1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0"/>
    </row>
    <row r="31" spans="1:16" x14ac:dyDescent="0.35">
      <c r="C31" s="19"/>
      <c r="D31" s="19"/>
      <c r="E31" s="19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x14ac:dyDescent="0.35">
      <c r="C32" s="19"/>
      <c r="D32" s="19"/>
      <c r="E32" s="19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0"/>
    </row>
  </sheetData>
  <mergeCells count="1">
    <mergeCell ref="A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C22"/>
  <sheetViews>
    <sheetView workbookViewId="0">
      <selection activeCell="F17" sqref="F17"/>
    </sheetView>
  </sheetViews>
  <sheetFormatPr defaultRowHeight="14.5" x14ac:dyDescent="0.35"/>
  <cols>
    <col min="1" max="1" width="28.7265625" bestFit="1" customWidth="1"/>
  </cols>
  <sheetData>
    <row r="1" spans="1:55" x14ac:dyDescent="0.35">
      <c r="A1" s="117" t="s">
        <v>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26"/>
      <c r="N1" s="26"/>
      <c r="O1" s="26"/>
    </row>
    <row r="2" spans="1:55" x14ac:dyDescent="0.35">
      <c r="A2" t="str">
        <f>'WK Cap'!A2</f>
        <v>All numbers are in millions of £</v>
      </c>
    </row>
    <row r="3" spans="1:55" x14ac:dyDescent="0.35">
      <c r="C3">
        <f>'WK Cap'!E3</f>
        <v>2014</v>
      </c>
      <c r="D3">
        <f>'WK Cap'!F3</f>
        <v>2015</v>
      </c>
      <c r="E3">
        <f>'WK Cap'!G3</f>
        <v>2016</v>
      </c>
      <c r="F3">
        <f>'WK Cap'!H3</f>
        <v>2017</v>
      </c>
      <c r="G3">
        <f>'WK Cap'!I3</f>
        <v>2018</v>
      </c>
      <c r="H3">
        <f>'WK Cap'!J3</f>
        <v>2019</v>
      </c>
      <c r="I3">
        <f>'WK Cap'!K3</f>
        <v>2020</v>
      </c>
      <c r="J3">
        <f>'WK Cap'!L3</f>
        <v>2021</v>
      </c>
      <c r="K3">
        <f>'WK Cap'!M3</f>
        <v>2022</v>
      </c>
      <c r="L3">
        <f>'WK Cap'!N3</f>
        <v>2023</v>
      </c>
      <c r="M3">
        <f>'WK Cap'!O3</f>
        <v>2024</v>
      </c>
    </row>
    <row r="4" spans="1:55" x14ac:dyDescent="0.35">
      <c r="AU4" s="4" t="s">
        <v>188</v>
      </c>
      <c r="AV4" s="4" t="s">
        <v>189</v>
      </c>
      <c r="AX4" s="4" t="s">
        <v>190</v>
      </c>
    </row>
    <row r="5" spans="1:55" x14ac:dyDescent="0.35">
      <c r="A5" s="4" t="s">
        <v>177</v>
      </c>
      <c r="AU5" s="12">
        <v>25.3</v>
      </c>
      <c r="AV5" s="19">
        <v>4.9700000000000001E-2</v>
      </c>
      <c r="AX5" s="19">
        <f>AU5/$AU$14*AV5</f>
        <v>7.4183480825958711E-3</v>
      </c>
      <c r="BB5" s="21"/>
      <c r="BC5" s="19"/>
    </row>
    <row r="6" spans="1:55" x14ac:dyDescent="0.35">
      <c r="A6" t="s">
        <v>39</v>
      </c>
      <c r="C6" s="12"/>
      <c r="D6" s="12">
        <f>C9</f>
        <v>206.2</v>
      </c>
      <c r="E6" s="12">
        <f t="shared" ref="E6:M6" si="0">D9</f>
        <v>206.2</v>
      </c>
      <c r="F6" s="12">
        <f t="shared" si="0"/>
        <v>206.2</v>
      </c>
      <c r="G6" s="12">
        <f t="shared" si="0"/>
        <v>206.2</v>
      </c>
      <c r="H6" s="12">
        <f t="shared" si="0"/>
        <v>206.2</v>
      </c>
      <c r="I6" s="12">
        <f t="shared" si="0"/>
        <v>206.2</v>
      </c>
      <c r="J6" s="12">
        <f t="shared" si="0"/>
        <v>206.2</v>
      </c>
      <c r="K6" s="12">
        <f t="shared" si="0"/>
        <v>206.2</v>
      </c>
      <c r="L6" s="12">
        <f t="shared" si="0"/>
        <v>206.2</v>
      </c>
      <c r="M6" s="12">
        <f t="shared" si="0"/>
        <v>206.2</v>
      </c>
      <c r="N6" s="12"/>
      <c r="AU6" s="12">
        <v>0</v>
      </c>
      <c r="AV6" s="19"/>
      <c r="AX6" s="19">
        <f t="shared" ref="AX6:AX13" si="1">AU6/$AU$14*AV6</f>
        <v>0</v>
      </c>
      <c r="BA6">
        <v>1000</v>
      </c>
      <c r="BB6" s="15">
        <v>0.03</v>
      </c>
      <c r="BC6" s="19">
        <f>BA6/$BA$8*BB6</f>
        <v>2.3076923076923078E-2</v>
      </c>
    </row>
    <row r="7" spans="1:55" x14ac:dyDescent="0.35">
      <c r="A7" t="s">
        <v>40</v>
      </c>
      <c r="C7" s="12"/>
      <c r="D7" s="12">
        <f>-D8</f>
        <v>25.3</v>
      </c>
      <c r="E7" s="12">
        <f>-E8</f>
        <v>0</v>
      </c>
      <c r="F7" s="12">
        <f>-F8</f>
        <v>119.8</v>
      </c>
      <c r="G7" s="12">
        <f>-G8</f>
        <v>11.6</v>
      </c>
      <c r="H7" s="12">
        <f>-H8</f>
        <v>15</v>
      </c>
      <c r="I7" s="12"/>
      <c r="J7" s="12"/>
      <c r="K7" s="12"/>
      <c r="L7" s="12"/>
      <c r="M7" s="12"/>
      <c r="N7" s="12"/>
      <c r="AU7" s="12">
        <v>0</v>
      </c>
      <c r="AV7" s="19"/>
      <c r="AX7" s="19">
        <f t="shared" si="1"/>
        <v>0</v>
      </c>
      <c r="BA7">
        <v>300</v>
      </c>
      <c r="BB7" s="21">
        <v>7.0000000000000007E-2</v>
      </c>
      <c r="BC7" s="19">
        <f>BA7/$BA$8*BB7</f>
        <v>1.6153846153846158E-2</v>
      </c>
    </row>
    <row r="8" spans="1:55" x14ac:dyDescent="0.35">
      <c r="A8" t="s">
        <v>41</v>
      </c>
      <c r="C8" s="12"/>
      <c r="D8" s="12">
        <f>-25.3</f>
        <v>-25.3</v>
      </c>
      <c r="E8" s="12">
        <v>0</v>
      </c>
      <c r="F8" s="12">
        <f>-(83.8+36)</f>
        <v>-119.8</v>
      </c>
      <c r="G8" s="12">
        <f>-11.6</f>
        <v>-11.6</v>
      </c>
      <c r="H8" s="12">
        <f>-15</f>
        <v>-15</v>
      </c>
      <c r="I8" s="12"/>
      <c r="J8" s="12"/>
      <c r="K8" s="12"/>
      <c r="L8" s="12"/>
      <c r="M8" s="12"/>
      <c r="N8" s="12"/>
      <c r="AU8" s="12">
        <v>73.8</v>
      </c>
      <c r="AV8" s="19">
        <v>5.3100000000000001E-2</v>
      </c>
      <c r="AX8" s="19">
        <f t="shared" si="1"/>
        <v>2.3119646017699114E-2</v>
      </c>
      <c r="BA8">
        <f>SUM(BA6:BA7)</f>
        <v>1300</v>
      </c>
      <c r="BB8" s="15"/>
      <c r="BC8" s="19">
        <f>SUM(BC6:BC7)</f>
        <v>3.9230769230769236E-2</v>
      </c>
    </row>
    <row r="9" spans="1:55" x14ac:dyDescent="0.35">
      <c r="A9" t="s">
        <v>42</v>
      </c>
      <c r="C9" s="12">
        <f>BS!D26+BS!D35</f>
        <v>206.2</v>
      </c>
      <c r="D9" s="12">
        <f>SUM(D6:D8)</f>
        <v>206.2</v>
      </c>
      <c r="E9" s="12">
        <f t="shared" ref="E9:M9" si="2">SUM(E6:E8)</f>
        <v>206.2</v>
      </c>
      <c r="F9" s="12">
        <f t="shared" si="2"/>
        <v>206.2</v>
      </c>
      <c r="G9" s="12">
        <f t="shared" si="2"/>
        <v>206.2</v>
      </c>
      <c r="H9" s="12">
        <f t="shared" si="2"/>
        <v>206.2</v>
      </c>
      <c r="I9" s="12">
        <f t="shared" si="2"/>
        <v>206.2</v>
      </c>
      <c r="J9" s="12">
        <f t="shared" si="2"/>
        <v>206.2</v>
      </c>
      <c r="K9" s="12">
        <f t="shared" si="2"/>
        <v>206.2</v>
      </c>
      <c r="L9" s="12">
        <f t="shared" si="2"/>
        <v>206.2</v>
      </c>
      <c r="M9" s="12">
        <f t="shared" si="2"/>
        <v>206.2</v>
      </c>
      <c r="N9" s="12"/>
      <c r="S9" s="15"/>
      <c r="AU9" s="12">
        <v>10</v>
      </c>
      <c r="AV9" s="19">
        <v>5.2699999999999997E-2</v>
      </c>
      <c r="AX9" s="19">
        <f t="shared" si="1"/>
        <v>3.1091445427728613E-3</v>
      </c>
      <c r="BB9" s="15">
        <f>AVERAGE(BB6:BB7)</f>
        <v>0.05</v>
      </c>
      <c r="BC9" s="19"/>
    </row>
    <row r="10" spans="1:55" x14ac:dyDescent="0.35">
      <c r="D10" s="16"/>
      <c r="E10" s="16"/>
      <c r="F10" s="16"/>
      <c r="G10" s="16"/>
      <c r="H10" s="16"/>
      <c r="I10" s="16"/>
      <c r="J10" s="16"/>
      <c r="K10" s="16"/>
      <c r="L10" s="16"/>
      <c r="M10" s="16"/>
      <c r="Q10" s="21"/>
      <c r="AU10" s="12">
        <v>8.8000000000000007</v>
      </c>
      <c r="AV10" s="19">
        <v>5.5300000000000002E-2</v>
      </c>
      <c r="AX10" s="19">
        <f t="shared" si="1"/>
        <v>2.8710324483775815E-3</v>
      </c>
      <c r="BB10" s="21"/>
      <c r="BC10" s="19"/>
    </row>
    <row r="11" spans="1:55" x14ac:dyDescent="0.35">
      <c r="Q11" s="15"/>
      <c r="AU11" s="12">
        <v>2.8</v>
      </c>
      <c r="AV11" s="19">
        <v>5.8400000000000001E-2</v>
      </c>
      <c r="AX11" s="19">
        <f t="shared" si="1"/>
        <v>9.6471976401179941E-4</v>
      </c>
    </row>
    <row r="12" spans="1:55" x14ac:dyDescent="0.35">
      <c r="A12" s="4" t="s">
        <v>43</v>
      </c>
      <c r="Q12" s="15"/>
      <c r="AU12" s="12">
        <v>15</v>
      </c>
      <c r="AV12" s="19">
        <v>3.8699999999999998E-2</v>
      </c>
      <c r="AX12" s="19">
        <f t="shared" si="1"/>
        <v>3.4247787610619468E-3</v>
      </c>
    </row>
    <row r="13" spans="1:55" x14ac:dyDescent="0.35">
      <c r="A13" t="s">
        <v>44</v>
      </c>
      <c r="C13" s="6"/>
      <c r="D13" s="6">
        <f>AVERAGE(D9,D6)</f>
        <v>206.2</v>
      </c>
      <c r="E13" s="6">
        <f t="shared" ref="E13:M13" si="3">AVERAGE(E9,E6)</f>
        <v>206.2</v>
      </c>
      <c r="F13" s="6">
        <f t="shared" si="3"/>
        <v>206.2</v>
      </c>
      <c r="G13" s="6">
        <f t="shared" si="3"/>
        <v>206.2</v>
      </c>
      <c r="H13" s="6">
        <f t="shared" si="3"/>
        <v>206.2</v>
      </c>
      <c r="I13" s="6">
        <f t="shared" si="3"/>
        <v>206.2</v>
      </c>
      <c r="J13" s="6">
        <f t="shared" si="3"/>
        <v>206.2</v>
      </c>
      <c r="K13" s="6">
        <f t="shared" si="3"/>
        <v>206.2</v>
      </c>
      <c r="L13" s="6">
        <f t="shared" si="3"/>
        <v>206.2</v>
      </c>
      <c r="M13" s="6">
        <f t="shared" si="3"/>
        <v>206.2</v>
      </c>
      <c r="N13" s="6"/>
      <c r="S13" s="16"/>
      <c r="AU13" s="12">
        <v>33.799999999999997</v>
      </c>
      <c r="AV13" s="19">
        <v>4.5199999999999997E-2</v>
      </c>
      <c r="AX13" s="19">
        <f t="shared" si="1"/>
        <v>9.0133333333333315E-3</v>
      </c>
      <c r="BB13" s="21"/>
    </row>
    <row r="14" spans="1:55" x14ac:dyDescent="0.35">
      <c r="A14" t="s">
        <v>116</v>
      </c>
      <c r="C14" s="16"/>
      <c r="D14" s="34">
        <f>AX15</f>
        <v>4.9921002949852508E-2</v>
      </c>
      <c r="E14" s="31">
        <f>D14</f>
        <v>4.9921002949852508E-2</v>
      </c>
      <c r="F14" s="31">
        <f t="shared" ref="F14:M14" si="4">E14</f>
        <v>4.9921002949852508E-2</v>
      </c>
      <c r="G14" s="31">
        <f t="shared" si="4"/>
        <v>4.9921002949852508E-2</v>
      </c>
      <c r="H14" s="31">
        <f t="shared" si="4"/>
        <v>4.9921002949852508E-2</v>
      </c>
      <c r="I14" s="31">
        <f t="shared" si="4"/>
        <v>4.9921002949852508E-2</v>
      </c>
      <c r="J14" s="31">
        <f t="shared" si="4"/>
        <v>4.9921002949852508E-2</v>
      </c>
      <c r="K14" s="31">
        <f t="shared" si="4"/>
        <v>4.9921002949852508E-2</v>
      </c>
      <c r="L14" s="31">
        <f t="shared" si="4"/>
        <v>4.9921002949852508E-2</v>
      </c>
      <c r="M14" s="31">
        <f t="shared" si="4"/>
        <v>4.9921002949852508E-2</v>
      </c>
      <c r="N14" s="31"/>
      <c r="AT14" s="4" t="s">
        <v>191</v>
      </c>
      <c r="AU14" s="13">
        <f>SUM(AU5:AU13)</f>
        <v>169.5</v>
      </c>
      <c r="AV14" s="7"/>
      <c r="AX14" s="19"/>
      <c r="BB14" s="15"/>
    </row>
    <row r="15" spans="1:55" x14ac:dyDescent="0.35">
      <c r="A15" t="s">
        <v>117</v>
      </c>
      <c r="C15" s="6"/>
      <c r="D15" s="6">
        <f>D13*D14</f>
        <v>10.293710808259586</v>
      </c>
      <c r="E15" s="6">
        <f t="shared" ref="E15:M15" si="5">E13*E14</f>
        <v>10.293710808259586</v>
      </c>
      <c r="F15" s="6">
        <f t="shared" si="5"/>
        <v>10.293710808259586</v>
      </c>
      <c r="G15" s="6">
        <f t="shared" si="5"/>
        <v>10.293710808259586</v>
      </c>
      <c r="H15" s="6">
        <f t="shared" si="5"/>
        <v>10.293710808259586</v>
      </c>
      <c r="I15" s="6">
        <f t="shared" si="5"/>
        <v>10.293710808259586</v>
      </c>
      <c r="J15" s="6">
        <f t="shared" si="5"/>
        <v>10.293710808259586</v>
      </c>
      <c r="K15" s="6">
        <f t="shared" si="5"/>
        <v>10.293710808259586</v>
      </c>
      <c r="L15" s="6">
        <f t="shared" si="5"/>
        <v>10.293710808259586</v>
      </c>
      <c r="M15" s="6">
        <f t="shared" si="5"/>
        <v>10.293710808259586</v>
      </c>
      <c r="N15" s="6"/>
      <c r="AV15" s="7"/>
      <c r="AX15" s="109">
        <f>SUM(AX5:AX13)</f>
        <v>4.9921002949852508E-2</v>
      </c>
      <c r="BB15" s="21"/>
      <c r="BC15" s="19"/>
    </row>
    <row r="16" spans="1:55" x14ac:dyDescent="0.35">
      <c r="AV16" s="7"/>
    </row>
    <row r="17" spans="1:48" x14ac:dyDescent="0.35">
      <c r="A17" s="4" t="s">
        <v>45</v>
      </c>
      <c r="AV17" s="7"/>
    </row>
    <row r="18" spans="1:48" x14ac:dyDescent="0.35">
      <c r="A18" t="s">
        <v>44</v>
      </c>
      <c r="C18" s="6"/>
      <c r="D18" s="6">
        <f ca="1">AVERAGE('IS-CF'!I59:I60)</f>
        <v>88.453957235639194</v>
      </c>
      <c r="E18" s="6">
        <f ca="1">AVERAGE('IS-CF'!J59:J60)</f>
        <v>127.49454226727107</v>
      </c>
      <c r="F18" s="6">
        <f ca="1">AVERAGE('IS-CF'!K59:K60)</f>
        <v>163.44256007210163</v>
      </c>
      <c r="G18" s="6">
        <f ca="1">AVERAGE('IS-CF'!L59:L60)</f>
        <v>199.86280019532001</v>
      </c>
      <c r="H18" s="6">
        <f ca="1">AVERAGE('IS-CF'!M59:M60)</f>
        <v>236.67451780359755</v>
      </c>
      <c r="I18" s="6">
        <f ca="1">AVERAGE('IS-CF'!N59:N60)</f>
        <v>273.90937163181104</v>
      </c>
      <c r="J18" s="6">
        <f ca="1">AVERAGE('IS-CF'!O59:O60)</f>
        <v>311.76272474781513</v>
      </c>
      <c r="K18" s="6">
        <f ca="1">AVERAGE('IS-CF'!P59:P60)</f>
        <v>350.17665777746788</v>
      </c>
      <c r="L18" s="6">
        <f ca="1">AVERAGE('IS-CF'!Q59:Q60)</f>
        <v>389.13630914593614</v>
      </c>
      <c r="M18" s="6">
        <f ca="1">AVERAGE('IS-CF'!R59:R60)</f>
        <v>428.64682151306488</v>
      </c>
      <c r="N18" s="6"/>
      <c r="AV18" s="7"/>
    </row>
    <row r="19" spans="1:48" x14ac:dyDescent="0.35">
      <c r="A19" t="s">
        <v>116</v>
      </c>
      <c r="C19" s="21"/>
      <c r="D19" s="88">
        <v>5.0000000000000001E-3</v>
      </c>
      <c r="E19" s="88">
        <f>D19</f>
        <v>5.0000000000000001E-3</v>
      </c>
      <c r="F19" s="88">
        <f t="shared" ref="F19:M19" si="6">E19</f>
        <v>5.0000000000000001E-3</v>
      </c>
      <c r="G19" s="88">
        <f t="shared" si="6"/>
        <v>5.0000000000000001E-3</v>
      </c>
      <c r="H19" s="88">
        <f t="shared" si="6"/>
        <v>5.0000000000000001E-3</v>
      </c>
      <c r="I19" s="88">
        <f t="shared" si="6"/>
        <v>5.0000000000000001E-3</v>
      </c>
      <c r="J19" s="88">
        <f t="shared" si="6"/>
        <v>5.0000000000000001E-3</v>
      </c>
      <c r="K19" s="88">
        <f t="shared" si="6"/>
        <v>5.0000000000000001E-3</v>
      </c>
      <c r="L19" s="88">
        <f t="shared" si="6"/>
        <v>5.0000000000000001E-3</v>
      </c>
      <c r="M19" s="88">
        <f t="shared" si="6"/>
        <v>5.0000000000000001E-3</v>
      </c>
      <c r="N19" s="21"/>
      <c r="AV19" s="7"/>
    </row>
    <row r="20" spans="1:48" x14ac:dyDescent="0.35">
      <c r="A20" t="s">
        <v>118</v>
      </c>
      <c r="C20" s="6"/>
      <c r="D20" s="6">
        <f ca="1">D18*D19</f>
        <v>0.44226978617819596</v>
      </c>
      <c r="E20" s="6">
        <f t="shared" ref="E20:M20" ca="1" si="7">E18*E19</f>
        <v>0.63747271133635541</v>
      </c>
      <c r="F20" s="6">
        <f t="shared" ca="1" si="7"/>
        <v>0.81721280036050814</v>
      </c>
      <c r="G20" s="6">
        <f t="shared" ca="1" si="7"/>
        <v>0.99931400097660006</v>
      </c>
      <c r="H20" s="6">
        <f t="shared" ca="1" si="7"/>
        <v>1.1833725890179878</v>
      </c>
      <c r="I20" s="6">
        <f t="shared" ca="1" si="7"/>
        <v>1.3695468581590553</v>
      </c>
      <c r="J20" s="6">
        <f t="shared" ca="1" si="7"/>
        <v>1.5588136237390757</v>
      </c>
      <c r="K20" s="6">
        <f t="shared" ca="1" si="7"/>
        <v>1.7508832888873394</v>
      </c>
      <c r="L20" s="6">
        <f t="shared" ca="1" si="7"/>
        <v>1.9456815457296808</v>
      </c>
      <c r="M20" s="6">
        <f t="shared" ca="1" si="7"/>
        <v>2.1432341075653243</v>
      </c>
      <c r="N20" s="6"/>
    </row>
    <row r="22" spans="1:48" x14ac:dyDescent="0.35">
      <c r="A22" t="s">
        <v>119</v>
      </c>
      <c r="C22" s="6"/>
      <c r="D22" s="6">
        <f ca="1">D15-D20</f>
        <v>9.8514410220813904</v>
      </c>
      <c r="E22" s="6">
        <f ca="1">E15-E20</f>
        <v>9.6562380969232304</v>
      </c>
      <c r="F22" s="6">
        <f t="shared" ref="F22:M22" ca="1" si="8">F15-F20</f>
        <v>9.4764980078990781</v>
      </c>
      <c r="G22" s="6">
        <f t="shared" ca="1" si="8"/>
        <v>9.2943968072829861</v>
      </c>
      <c r="H22" s="6">
        <f t="shared" ca="1" si="8"/>
        <v>9.1103382192415978</v>
      </c>
      <c r="I22" s="6">
        <f t="shared" ca="1" si="8"/>
        <v>8.9241639501005317</v>
      </c>
      <c r="J22" s="6">
        <f t="shared" ca="1" si="8"/>
        <v>8.734897184520511</v>
      </c>
      <c r="K22" s="6">
        <f t="shared" ca="1" si="8"/>
        <v>8.5428275193722474</v>
      </c>
      <c r="L22" s="6">
        <f t="shared" ca="1" si="8"/>
        <v>8.3480292625299057</v>
      </c>
      <c r="M22" s="6">
        <f t="shared" ca="1" si="8"/>
        <v>8.1504767006942629</v>
      </c>
      <c r="N22" s="6"/>
    </row>
  </sheetData>
  <mergeCells count="1">
    <mergeCell ref="A1:L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P35"/>
  <sheetViews>
    <sheetView workbookViewId="0">
      <selection activeCell="A17" sqref="A17"/>
    </sheetView>
  </sheetViews>
  <sheetFormatPr defaultRowHeight="14.5" x14ac:dyDescent="0.35"/>
  <cols>
    <col min="1" max="1" width="33.453125" bestFit="1" customWidth="1"/>
    <col min="2" max="2" width="19.08984375" customWidth="1"/>
  </cols>
  <sheetData>
    <row r="1" spans="1:16" x14ac:dyDescent="0.35">
      <c r="A1" s="117" t="s">
        <v>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37"/>
    </row>
    <row r="3" spans="1:16" x14ac:dyDescent="0.35">
      <c r="C3">
        <f>'WK Cap'!C3</f>
        <v>2012</v>
      </c>
      <c r="D3">
        <f>'WK Cap'!D3</f>
        <v>2013</v>
      </c>
      <c r="E3">
        <f>'WK Cap'!E3</f>
        <v>2014</v>
      </c>
      <c r="F3">
        <f>'WK Cap'!F3</f>
        <v>2015</v>
      </c>
      <c r="G3">
        <f>'WK Cap'!G3</f>
        <v>2016</v>
      </c>
      <c r="H3">
        <f>'WK Cap'!H3</f>
        <v>2017</v>
      </c>
      <c r="I3">
        <f>'WK Cap'!I3</f>
        <v>2018</v>
      </c>
      <c r="J3">
        <f>'WK Cap'!J3</f>
        <v>2019</v>
      </c>
      <c r="K3">
        <f>'WK Cap'!K3</f>
        <v>2020</v>
      </c>
      <c r="L3">
        <f>'WK Cap'!L3</f>
        <v>2021</v>
      </c>
      <c r="M3">
        <f>'WK Cap'!M3</f>
        <v>2022</v>
      </c>
      <c r="N3">
        <f>'WK Cap'!N3</f>
        <v>2023</v>
      </c>
      <c r="O3">
        <f>N3+1</f>
        <v>2024</v>
      </c>
    </row>
    <row r="5" spans="1:16" x14ac:dyDescent="0.35">
      <c r="A5" t="s">
        <v>120</v>
      </c>
      <c r="C5" s="79"/>
      <c r="D5" s="79"/>
      <c r="E5" s="79"/>
      <c r="F5" s="12">
        <f>E8</f>
        <v>289.39999999999998</v>
      </c>
      <c r="G5" s="12">
        <f t="shared" ref="G5:O5" ca="1" si="0">F8</f>
        <v>337.89840103939582</v>
      </c>
      <c r="H5" s="12">
        <f t="shared" ca="1" si="0"/>
        <v>386.27032506329562</v>
      </c>
      <c r="I5" s="12">
        <f t="shared" ca="1" si="0"/>
        <v>434.89474309839562</v>
      </c>
      <c r="J5" s="12">
        <f t="shared" ca="1" si="0"/>
        <v>482.37878785594864</v>
      </c>
      <c r="K5" s="12">
        <f t="shared" ca="1" si="0"/>
        <v>530.00328509371718</v>
      </c>
      <c r="L5" s="12">
        <f t="shared" ca="1" si="0"/>
        <v>577.62925431261192</v>
      </c>
      <c r="M5" s="12">
        <f t="shared" ca="1" si="0"/>
        <v>625.08436430319421</v>
      </c>
      <c r="N5" s="12">
        <f t="shared" ca="1" si="0"/>
        <v>672.62055058180567</v>
      </c>
      <c r="O5" s="12">
        <f t="shared" ca="1" si="0"/>
        <v>720.23701303615849</v>
      </c>
    </row>
    <row r="6" spans="1:16" x14ac:dyDescent="0.35">
      <c r="A6" t="s">
        <v>11</v>
      </c>
      <c r="C6" s="79"/>
      <c r="D6" s="79"/>
      <c r="E6" s="79"/>
      <c r="F6" s="12">
        <f ca="1">'IS-CF'!I21</f>
        <v>48.49840103939583</v>
      </c>
      <c r="G6" s="12">
        <f ca="1">'IS-CF'!J21</f>
        <v>48.37192402389978</v>
      </c>
      <c r="H6" s="12">
        <f ca="1">'IS-CF'!K21</f>
        <v>48.624418035100007</v>
      </c>
      <c r="I6" s="12">
        <f ca="1">'IS-CF'!L21</f>
        <v>47.484044757552994</v>
      </c>
      <c r="J6" s="12">
        <f ca="1">'IS-CF'!M21</f>
        <v>47.62449723776853</v>
      </c>
      <c r="K6" s="12">
        <f ca="1">'IS-CF'!N21</f>
        <v>47.625969218894689</v>
      </c>
      <c r="L6" s="12">
        <f ca="1">'IS-CF'!O21</f>
        <v>47.455109990582336</v>
      </c>
      <c r="M6" s="12">
        <f ca="1">'IS-CF'!P21</f>
        <v>47.536186278611524</v>
      </c>
      <c r="N6" s="12">
        <f ca="1">'IS-CF'!Q21</f>
        <v>47.616462454352785</v>
      </c>
      <c r="O6" s="12">
        <f ca="1">'IS-CF'!R21</f>
        <v>47.713879584655324</v>
      </c>
      <c r="P6" s="6"/>
    </row>
    <row r="7" spans="1:16" x14ac:dyDescent="0.35">
      <c r="A7" t="s">
        <v>52</v>
      </c>
      <c r="B7" s="103" t="s">
        <v>184</v>
      </c>
      <c r="C7" s="79"/>
      <c r="D7" s="79"/>
      <c r="E7" s="79"/>
      <c r="F7" s="12"/>
      <c r="G7" s="12"/>
      <c r="H7" s="12"/>
      <c r="I7" s="12"/>
      <c r="J7" s="12"/>
      <c r="K7" s="12"/>
      <c r="L7" s="12"/>
      <c r="M7" s="12"/>
      <c r="N7" s="12"/>
      <c r="O7" s="12"/>
      <c r="P7" s="6"/>
    </row>
    <row r="8" spans="1:16" x14ac:dyDescent="0.35">
      <c r="A8" t="s">
        <v>121</v>
      </c>
      <c r="C8" s="12">
        <f>BS!B45</f>
        <v>274.3</v>
      </c>
      <c r="D8" s="12">
        <f>BS!C45</f>
        <v>307.39999999999998</v>
      </c>
      <c r="E8" s="12">
        <f>BS!D45</f>
        <v>289.39999999999998</v>
      </c>
      <c r="F8" s="12">
        <f ca="1">SUM(F5:F7)</f>
        <v>337.89840103939582</v>
      </c>
      <c r="G8" s="12">
        <f t="shared" ref="G8:O8" ca="1" si="1">SUM(G5:G7)</f>
        <v>386.27032506329562</v>
      </c>
      <c r="H8" s="12">
        <f t="shared" ca="1" si="1"/>
        <v>434.89474309839562</v>
      </c>
      <c r="I8" s="12">
        <f t="shared" ca="1" si="1"/>
        <v>482.37878785594864</v>
      </c>
      <c r="J8" s="12">
        <f t="shared" ca="1" si="1"/>
        <v>530.00328509371718</v>
      </c>
      <c r="K8" s="12">
        <f t="shared" ca="1" si="1"/>
        <v>577.62925431261192</v>
      </c>
      <c r="L8" s="12">
        <f t="shared" ca="1" si="1"/>
        <v>625.08436430319421</v>
      </c>
      <c r="M8" s="12">
        <f t="shared" ca="1" si="1"/>
        <v>672.62055058180567</v>
      </c>
      <c r="N8" s="12">
        <f t="shared" ca="1" si="1"/>
        <v>720.23701303615849</v>
      </c>
      <c r="O8" s="12">
        <f t="shared" ca="1" si="1"/>
        <v>767.95089262081376</v>
      </c>
    </row>
    <row r="10" spans="1:16" hidden="1" x14ac:dyDescent="0.35">
      <c r="A10" s="23"/>
      <c r="B10" s="23"/>
    </row>
    <row r="11" spans="1:16" hidden="1" x14ac:dyDescent="0.35">
      <c r="A11" s="22" t="s">
        <v>51</v>
      </c>
      <c r="B11" s="23"/>
      <c r="D11" s="16">
        <f>D12/C12-1</f>
        <v>4.3307086614173373E-2</v>
      </c>
      <c r="E11" s="16">
        <f>E12/D12-1</f>
        <v>3.3962264150943389E-2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hidden="1" x14ac:dyDescent="0.35">
      <c r="A12" s="23"/>
      <c r="B12" s="23" t="s">
        <v>52</v>
      </c>
      <c r="C12">
        <v>25.4</v>
      </c>
      <c r="D12">
        <v>26.5</v>
      </c>
      <c r="E12" s="12">
        <v>27.4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idden="1" x14ac:dyDescent="0.35">
      <c r="A13" s="23"/>
      <c r="B13" s="23" t="s">
        <v>11</v>
      </c>
      <c r="C13" s="6">
        <f>'IS-CF'!B21</f>
        <v>42.000000000000099</v>
      </c>
      <c r="D13" s="6">
        <f>'IS-CF'!C21</f>
        <v>36.599999999999795</v>
      </c>
      <c r="E13" s="6">
        <f>'IS-CF'!D21</f>
        <v>55.199999999999854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idden="1" x14ac:dyDescent="0.35">
      <c r="A14" s="23"/>
      <c r="B14" s="23" t="s">
        <v>53</v>
      </c>
      <c r="C14" s="16">
        <f>C12/C13</f>
        <v>0.60476190476190328</v>
      </c>
      <c r="D14" s="16">
        <f>D12/D13</f>
        <v>0.72404371584699856</v>
      </c>
      <c r="E14" s="16">
        <f>E12/E13</f>
        <v>0.49637681159420421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idden="1" x14ac:dyDescent="0.35">
      <c r="A15" s="23"/>
      <c r="B15" s="23"/>
      <c r="F15" s="36"/>
      <c r="G15" s="36"/>
      <c r="H15" s="36"/>
      <c r="I15" s="36"/>
      <c r="J15" s="36"/>
      <c r="K15" s="36"/>
      <c r="L15" s="36"/>
      <c r="M15" s="36"/>
      <c r="N15" s="36"/>
    </row>
    <row r="16" spans="1:16" x14ac:dyDescent="0.35">
      <c r="A16" s="23"/>
      <c r="B16" s="23"/>
    </row>
    <row r="17" spans="1:2" x14ac:dyDescent="0.35">
      <c r="A17" s="22"/>
      <c r="B17" s="23"/>
    </row>
    <row r="18" spans="1:2" x14ac:dyDescent="0.35">
      <c r="A18" s="23"/>
      <c r="B18" s="23"/>
    </row>
    <row r="19" spans="1:2" x14ac:dyDescent="0.35">
      <c r="A19" s="23"/>
      <c r="B19" s="23"/>
    </row>
    <row r="20" spans="1:2" x14ac:dyDescent="0.35">
      <c r="A20" s="23"/>
      <c r="B20" s="23"/>
    </row>
    <row r="28" spans="1:2" x14ac:dyDescent="0.35">
      <c r="A28" s="4"/>
    </row>
    <row r="31" spans="1:2" x14ac:dyDescent="0.35">
      <c r="A31" s="4"/>
    </row>
    <row r="33" spans="1:2" x14ac:dyDescent="0.35">
      <c r="A33" s="4"/>
    </row>
    <row r="34" spans="1:2" x14ac:dyDescent="0.35">
      <c r="B34" s="4"/>
    </row>
    <row r="35" spans="1:2" x14ac:dyDescent="0.35">
      <c r="A35" s="4"/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64"/>
  <sheetViews>
    <sheetView topLeftCell="A42" zoomScale="86" zoomScaleNormal="85" workbookViewId="0">
      <selection activeCell="E71" sqref="E71"/>
    </sheetView>
  </sheetViews>
  <sheetFormatPr defaultRowHeight="14.5" x14ac:dyDescent="0.35"/>
  <cols>
    <col min="1" max="1" width="30.81640625" bestFit="1" customWidth="1"/>
    <col min="3" max="3" width="11.1796875" bestFit="1" customWidth="1"/>
    <col min="4" max="4" width="9.6328125" bestFit="1" customWidth="1"/>
    <col min="5" max="5" width="11.1796875" bestFit="1" customWidth="1"/>
    <col min="6" max="6" width="13.26953125" bestFit="1" customWidth="1"/>
    <col min="7" max="7" width="8.453125" bestFit="1" customWidth="1"/>
    <col min="8" max="10" width="8.453125" customWidth="1"/>
    <col min="11" max="11" width="8.453125" bestFit="1" customWidth="1"/>
    <col min="12" max="12" width="7" bestFit="1" customWidth="1"/>
    <col min="14" max="14" width="26.453125" bestFit="1" customWidth="1"/>
    <col min="15" max="15" width="20.54296875" bestFit="1" customWidth="1"/>
    <col min="17" max="17" width="10.1796875" bestFit="1" customWidth="1"/>
  </cols>
  <sheetData>
    <row r="1" spans="1:18" x14ac:dyDescent="0.35">
      <c r="A1" s="117" t="s">
        <v>141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8" ht="15" thickBot="1" x14ac:dyDescent="0.4">
      <c r="B2">
        <v>2014</v>
      </c>
      <c r="C2">
        <f>B2+1</f>
        <v>2015</v>
      </c>
      <c r="D2">
        <f>C2+1</f>
        <v>2016</v>
      </c>
      <c r="E2">
        <f t="shared" ref="E2:L2" si="0">D2+1</f>
        <v>2017</v>
      </c>
      <c r="F2">
        <f t="shared" si="0"/>
        <v>2018</v>
      </c>
      <c r="G2">
        <f t="shared" si="0"/>
        <v>2019</v>
      </c>
      <c r="H2">
        <f t="shared" si="0"/>
        <v>2020</v>
      </c>
      <c r="I2">
        <f t="shared" si="0"/>
        <v>2021</v>
      </c>
      <c r="J2">
        <f t="shared" si="0"/>
        <v>2022</v>
      </c>
      <c r="K2">
        <f t="shared" si="0"/>
        <v>2023</v>
      </c>
      <c r="L2">
        <f t="shared" si="0"/>
        <v>2024</v>
      </c>
    </row>
    <row r="3" spans="1:18" ht="15" thickBot="1" x14ac:dyDescent="0.4">
      <c r="N3" s="125" t="s">
        <v>142</v>
      </c>
      <c r="O3" s="126"/>
      <c r="Q3" s="4" t="s">
        <v>186</v>
      </c>
      <c r="R3" s="100">
        <v>4.6260000000000003</v>
      </c>
    </row>
    <row r="4" spans="1:18" x14ac:dyDescent="0.35">
      <c r="N4" s="42" t="s">
        <v>143</v>
      </c>
      <c r="O4" s="43">
        <f>'Debt &amp; Cash'!C9/('Debt &amp; Cash'!C9+DCF!R4)</f>
        <v>0.24400905697244635</v>
      </c>
      <c r="Q4" s="4" t="s">
        <v>187</v>
      </c>
      <c r="R4">
        <f>R3*'IS-CF'!D24</f>
        <v>638.85059999999999</v>
      </c>
    </row>
    <row r="5" spans="1:18" x14ac:dyDescent="0.35">
      <c r="A5" t="s">
        <v>144</v>
      </c>
      <c r="C5" s="6">
        <f>'IS-CF'!I14</f>
        <v>66.608627745722188</v>
      </c>
      <c r="D5" s="6">
        <f>'IS-CF'!J14</f>
        <v>66.265410052429161</v>
      </c>
      <c r="E5" s="6">
        <f>'IS-CF'!K14</f>
        <v>66.381161143179185</v>
      </c>
      <c r="F5" s="6">
        <f>'IS-CF'!L14</f>
        <v>64.864492664854083</v>
      </c>
      <c r="G5" s="6">
        <f>'IS-CF'!M14</f>
        <v>64.844804189528702</v>
      </c>
      <c r="H5" s="6">
        <f>'IS-CF'!N14</f>
        <v>64.660352564966445</v>
      </c>
      <c r="I5" s="6">
        <f>'IS-CF'!O14</f>
        <v>64.271130977846965</v>
      </c>
      <c r="J5" s="6">
        <f>'IS-CF'!P14</f>
        <v>64.173944070066185</v>
      </c>
      <c r="K5" s="6">
        <f>'IS-CF'!Q14</f>
        <v>64.073092207297861</v>
      </c>
      <c r="L5" s="6">
        <f>'IS-CF'!R14</f>
        <v>63.989545924765551</v>
      </c>
      <c r="M5" s="6"/>
      <c r="N5" s="44" t="s">
        <v>145</v>
      </c>
      <c r="O5" s="45">
        <f>1-O4</f>
        <v>0.75599094302755365</v>
      </c>
    </row>
    <row r="6" spans="1:18" x14ac:dyDescent="0.35">
      <c r="A6" t="s">
        <v>146</v>
      </c>
      <c r="C6" s="6">
        <f>C5*$O$8</f>
        <v>13.987811826601659</v>
      </c>
      <c r="D6" s="6">
        <f t="shared" ref="D6:L6" si="1">D5*$O$8</f>
        <v>13.915736111010123</v>
      </c>
      <c r="E6" s="6">
        <f t="shared" si="1"/>
        <v>13.940043840067629</v>
      </c>
      <c r="F6" s="6">
        <f t="shared" si="1"/>
        <v>13.621543459619357</v>
      </c>
      <c r="G6" s="6">
        <f t="shared" si="1"/>
        <v>13.617408879801028</v>
      </c>
      <c r="H6" s="6">
        <f t="shared" si="1"/>
        <v>13.578674038642953</v>
      </c>
      <c r="I6" s="6">
        <f t="shared" si="1"/>
        <v>13.496937505347862</v>
      </c>
      <c r="J6" s="6">
        <f t="shared" si="1"/>
        <v>13.476528254713898</v>
      </c>
      <c r="K6" s="6">
        <f t="shared" si="1"/>
        <v>13.45534936353255</v>
      </c>
      <c r="L6" s="6">
        <f t="shared" si="1"/>
        <v>13.437804644200765</v>
      </c>
      <c r="M6" s="6"/>
      <c r="N6" s="46" t="s">
        <v>147</v>
      </c>
      <c r="O6" s="47"/>
    </row>
    <row r="7" spans="1:18" x14ac:dyDescent="0.35">
      <c r="A7" t="s">
        <v>185</v>
      </c>
      <c r="C7" s="6">
        <f>C5-C6</f>
        <v>52.620815919120531</v>
      </c>
      <c r="D7" s="6">
        <f t="shared" ref="D7:L7" si="2">D5-D6</f>
        <v>52.349673941419042</v>
      </c>
      <c r="E7" s="6">
        <f t="shared" si="2"/>
        <v>52.441117303111554</v>
      </c>
      <c r="F7" s="6">
        <f t="shared" si="2"/>
        <v>51.242949205234723</v>
      </c>
      <c r="G7" s="6">
        <f t="shared" si="2"/>
        <v>51.227395309727676</v>
      </c>
      <c r="H7" s="6">
        <f t="shared" si="2"/>
        <v>51.081678526323493</v>
      </c>
      <c r="I7" s="6">
        <f t="shared" si="2"/>
        <v>50.774193472499107</v>
      </c>
      <c r="J7" s="6">
        <f t="shared" si="2"/>
        <v>50.697415815352286</v>
      </c>
      <c r="K7" s="6">
        <f t="shared" si="2"/>
        <v>50.617742843765313</v>
      </c>
      <c r="L7" s="6">
        <f t="shared" si="2"/>
        <v>50.551741280564784</v>
      </c>
      <c r="M7" s="6"/>
      <c r="N7" s="48" t="s">
        <v>147</v>
      </c>
      <c r="O7" s="104">
        <f>'Debt &amp; Cash'!D14</f>
        <v>4.9921002949852508E-2</v>
      </c>
    </row>
    <row r="8" spans="1:18" x14ac:dyDescent="0.35">
      <c r="N8" s="48" t="s">
        <v>148</v>
      </c>
      <c r="O8" s="49">
        <v>0.21</v>
      </c>
    </row>
    <row r="9" spans="1:18" x14ac:dyDescent="0.35">
      <c r="A9" t="s">
        <v>149</v>
      </c>
      <c r="C9" s="6">
        <f>'D&amp;A'!E29</f>
        <v>41.314220706309968</v>
      </c>
      <c r="D9" s="6">
        <f>'D&amp;A'!F29</f>
        <v>42.096399127364926</v>
      </c>
      <c r="E9" s="6">
        <f>'D&amp;A'!G29</f>
        <v>42.431407453648518</v>
      </c>
      <c r="F9" s="6">
        <f>'D&amp;A'!H29</f>
        <v>44.410725034115956</v>
      </c>
      <c r="G9" s="6">
        <f>'D&amp;A'!I29</f>
        <v>45.262991046739721</v>
      </c>
      <c r="H9" s="6">
        <f>'D&amp;A'!J29</f>
        <v>46.177273678460274</v>
      </c>
      <c r="I9" s="6">
        <f>'D&amp;A'!K29</f>
        <v>47.303890015099896</v>
      </c>
      <c r="J9" s="6">
        <f>'D&amp;A'!L29</f>
        <v>48.146109903375915</v>
      </c>
      <c r="K9" s="6">
        <f>'D&amp;A'!M29</f>
        <v>48.999708264204969</v>
      </c>
      <c r="L9" s="6">
        <f>'D&amp;A'!N29</f>
        <v>49.843790655265636</v>
      </c>
      <c r="M9" s="6"/>
      <c r="N9" s="50" t="s">
        <v>150</v>
      </c>
      <c r="O9" s="51">
        <f>O7*(1-O8)</f>
        <v>3.9437592330383485E-2</v>
      </c>
    </row>
    <row r="10" spans="1:18" x14ac:dyDescent="0.35">
      <c r="A10" t="s">
        <v>151</v>
      </c>
      <c r="C10" s="6">
        <f>'IS-CF'!I45</f>
        <v>-54.014986361987503</v>
      </c>
      <c r="D10" s="6">
        <f>'IS-CF'!J45</f>
        <v>-54.23468458218457</v>
      </c>
      <c r="E10" s="6">
        <f>'IS-CF'!K45</f>
        <v>-54.460288002709845</v>
      </c>
      <c r="F10" s="6">
        <f>'IS-CF'!L45</f>
        <v>-54.691842166643085</v>
      </c>
      <c r="G10" s="6">
        <f>'IS-CF'!M45</f>
        <v>-55.10854414372681</v>
      </c>
      <c r="H10" s="6">
        <f>'IS-CF'!N45</f>
        <v>-55.473821862612581</v>
      </c>
      <c r="I10" s="6">
        <f>'IS-CF'!O45</f>
        <v>-55.842885206566407</v>
      </c>
      <c r="J10" s="6">
        <f>'IS-CF'!P45</f>
        <v>-56.215771456863713</v>
      </c>
      <c r="K10" s="6">
        <f>'IS-CF'!Q45</f>
        <v>-56.592518294164371</v>
      </c>
      <c r="L10" s="6">
        <f>'IS-CF'!R45</f>
        <v>-56.973163802684454</v>
      </c>
      <c r="M10" s="6"/>
      <c r="N10" s="52"/>
      <c r="O10" s="53"/>
    </row>
    <row r="11" spans="1:18" x14ac:dyDescent="0.35">
      <c r="A11" t="s">
        <v>152</v>
      </c>
      <c r="C11" s="6">
        <f>'IS-CF'!I40</f>
        <v>6.5102790875601215</v>
      </c>
      <c r="D11" s="6">
        <f>'IS-CF'!J40</f>
        <v>-0.46038297709480958</v>
      </c>
      <c r="E11" s="6">
        <f>'IS-CF'!K40</f>
        <v>-0.4727574683628859</v>
      </c>
      <c r="F11" s="6">
        <f>'IS-CF'!L40</f>
        <v>-0.48522739626494626</v>
      </c>
      <c r="G11" s="6">
        <f>'IS-CF'!M40</f>
        <v>-0.87320915298730029</v>
      </c>
      <c r="H11" s="6">
        <f>'IS-CF'!N40</f>
        <v>-0.76544836610949574</v>
      </c>
      <c r="I11" s="6">
        <f>'IS-CF'!O40</f>
        <v>-0.77338123574060091</v>
      </c>
      <c r="J11" s="6">
        <f>'IS-CF'!P40</f>
        <v>-0.78139222919332951</v>
      </c>
      <c r="K11" s="6">
        <f>'IS-CF'!Q40</f>
        <v>-0.78948218338740617</v>
      </c>
      <c r="L11" s="6">
        <f>'IS-CF'!R40</f>
        <v>-0.79765194398501649</v>
      </c>
      <c r="M11" s="6"/>
      <c r="N11" s="46" t="s">
        <v>153</v>
      </c>
      <c r="O11" s="47"/>
    </row>
    <row r="12" spans="1:18" x14ac:dyDescent="0.35">
      <c r="N12" s="48" t="s">
        <v>154</v>
      </c>
      <c r="O12" s="54">
        <v>3.4000000000000002E-2</v>
      </c>
    </row>
    <row r="13" spans="1:18" x14ac:dyDescent="0.35">
      <c r="A13" t="s">
        <v>155</v>
      </c>
      <c r="C13" s="32">
        <f>C7+SUM(C9:C11)</f>
        <v>46.430329351003117</v>
      </c>
      <c r="D13" s="32">
        <f t="shared" ref="D13:L13" si="3">D7+SUM(D9:D11)</f>
        <v>39.751005509504587</v>
      </c>
      <c r="E13" s="32">
        <f t="shared" si="3"/>
        <v>39.939479285687341</v>
      </c>
      <c r="F13" s="32">
        <f t="shared" si="3"/>
        <v>40.476604676442648</v>
      </c>
      <c r="G13" s="32">
        <f t="shared" si="3"/>
        <v>40.508633059753286</v>
      </c>
      <c r="H13" s="32">
        <f t="shared" si="3"/>
        <v>41.01968197606169</v>
      </c>
      <c r="I13" s="32">
        <f t="shared" si="3"/>
        <v>41.461817045291994</v>
      </c>
      <c r="J13" s="32">
        <f t="shared" si="3"/>
        <v>41.846362032671159</v>
      </c>
      <c r="K13" s="32">
        <f t="shared" si="3"/>
        <v>42.235450630418505</v>
      </c>
      <c r="L13" s="32">
        <f t="shared" si="3"/>
        <v>42.624716189160949</v>
      </c>
      <c r="M13" s="32"/>
      <c r="N13" s="48" t="s">
        <v>156</v>
      </c>
      <c r="O13" s="49">
        <f>10%-O12</f>
        <v>6.6000000000000003E-2</v>
      </c>
    </row>
    <row r="14" spans="1:18" x14ac:dyDescent="0.35">
      <c r="A14" t="s">
        <v>142</v>
      </c>
      <c r="C14" s="20">
        <f>$O$17</f>
        <v>6.9754649322212273E-2</v>
      </c>
      <c r="D14" s="20">
        <f t="shared" ref="D14:L14" si="4">$O$17</f>
        <v>6.9754649322212273E-2</v>
      </c>
      <c r="E14" s="20">
        <f t="shared" si="4"/>
        <v>6.9754649322212273E-2</v>
      </c>
      <c r="F14" s="20">
        <f t="shared" si="4"/>
        <v>6.9754649322212273E-2</v>
      </c>
      <c r="G14" s="20">
        <f t="shared" si="4"/>
        <v>6.9754649322212273E-2</v>
      </c>
      <c r="H14" s="20">
        <f t="shared" si="4"/>
        <v>6.9754649322212273E-2</v>
      </c>
      <c r="I14" s="20">
        <f t="shared" si="4"/>
        <v>6.9754649322212273E-2</v>
      </c>
      <c r="J14" s="20">
        <f t="shared" si="4"/>
        <v>6.9754649322212273E-2</v>
      </c>
      <c r="K14" s="20">
        <f t="shared" si="4"/>
        <v>6.9754649322212273E-2</v>
      </c>
      <c r="L14" s="20">
        <f t="shared" si="4"/>
        <v>6.9754649322212273E-2</v>
      </c>
      <c r="M14" s="20"/>
      <c r="N14" s="48" t="s">
        <v>157</v>
      </c>
      <c r="O14" s="114">
        <v>0.69</v>
      </c>
    </row>
    <row r="15" spans="1:18" x14ac:dyDescent="0.35">
      <c r="A15" s="4" t="s">
        <v>158</v>
      </c>
      <c r="B15" s="4"/>
      <c r="C15" s="13">
        <f>C13/(1+C14)^(C2-$B$2)</f>
        <v>43.402783414328688</v>
      </c>
      <c r="D15" s="13">
        <f t="shared" ref="D15:L15" si="5">D13/(1+D14)^(D2-$B$2)</f>
        <v>34.735995780186187</v>
      </c>
      <c r="E15" s="13">
        <f t="shared" si="5"/>
        <v>32.624949672734346</v>
      </c>
      <c r="F15" s="13">
        <f t="shared" si="5"/>
        <v>30.907746706668682</v>
      </c>
      <c r="G15" s="13">
        <f t="shared" si="5"/>
        <v>28.915231591195425</v>
      </c>
      <c r="H15" s="13">
        <f t="shared" si="5"/>
        <v>27.3707811994359</v>
      </c>
      <c r="I15" s="13">
        <f t="shared" si="5"/>
        <v>25.861818068391511</v>
      </c>
      <c r="J15" s="13">
        <f t="shared" si="5"/>
        <v>24.399686517506812</v>
      </c>
      <c r="K15" s="13">
        <f t="shared" si="5"/>
        <v>23.020751041817977</v>
      </c>
      <c r="L15" s="13">
        <f t="shared" si="5"/>
        <v>21.717992239084424</v>
      </c>
      <c r="M15" s="13"/>
      <c r="N15" s="55" t="s">
        <v>159</v>
      </c>
      <c r="O15" s="56">
        <v>0</v>
      </c>
    </row>
    <row r="16" spans="1:18" x14ac:dyDescent="0.35">
      <c r="N16" s="50" t="s">
        <v>160</v>
      </c>
      <c r="O16" s="51">
        <f>O12+O14*O13+O15</f>
        <v>7.954E-2</v>
      </c>
    </row>
    <row r="17" spans="1:15" ht="15" thickBot="1" x14ac:dyDescent="0.4">
      <c r="C17" s="80"/>
      <c r="N17" s="57" t="s">
        <v>142</v>
      </c>
      <c r="O17" s="82">
        <f>O16*O5+O9*O4</f>
        <v>6.9754649322212273E-2</v>
      </c>
    </row>
    <row r="19" spans="1:15" ht="15" thickBot="1" x14ac:dyDescent="0.4"/>
    <row r="20" spans="1:15" ht="16" thickBot="1" x14ac:dyDescent="0.4">
      <c r="C20" s="58" t="s">
        <v>161</v>
      </c>
      <c r="D20" s="59" t="s">
        <v>162</v>
      </c>
      <c r="E20" s="60" t="s">
        <v>163</v>
      </c>
      <c r="F20" s="61" t="s">
        <v>157</v>
      </c>
      <c r="G20" s="61" t="s">
        <v>164</v>
      </c>
      <c r="H20" s="61" t="s">
        <v>148</v>
      </c>
      <c r="I20" s="61" t="s">
        <v>165</v>
      </c>
      <c r="J20" s="62"/>
      <c r="K20" s="62"/>
      <c r="L20" s="62"/>
    </row>
    <row r="21" spans="1:15" ht="15" thickBot="1" x14ac:dyDescent="0.4">
      <c r="A21" t="s">
        <v>166</v>
      </c>
      <c r="C21" s="89">
        <v>0.02</v>
      </c>
      <c r="E21" s="1"/>
      <c r="G21" s="21"/>
      <c r="H21" s="21"/>
      <c r="I21" s="63"/>
    </row>
    <row r="22" spans="1:15" ht="15" thickBot="1" x14ac:dyDescent="0.4">
      <c r="A22" t="s">
        <v>167</v>
      </c>
      <c r="D22" s="64">
        <v>8.3000000000000007</v>
      </c>
      <c r="E22" s="1"/>
      <c r="G22" s="21"/>
      <c r="H22" s="20"/>
      <c r="I22" s="63"/>
    </row>
    <row r="23" spans="1:15" ht="15" thickBot="1" x14ac:dyDescent="0.4">
      <c r="A23" t="s">
        <v>168</v>
      </c>
      <c r="C23" s="112">
        <f>L13*(1+C21)/(C14-C21)</f>
        <v>873.83211629901643</v>
      </c>
      <c r="D23" s="113">
        <f>D22*'IS-CF'!R11</f>
        <v>944.81669361425895</v>
      </c>
      <c r="E23" s="1"/>
      <c r="G23" s="21"/>
      <c r="H23" s="20"/>
      <c r="I23" s="63"/>
      <c r="L23" s="15"/>
    </row>
    <row r="24" spans="1:15" x14ac:dyDescent="0.35">
      <c r="A24" t="s">
        <v>169</v>
      </c>
      <c r="C24" s="65">
        <f>PV(C14,10,0,-C23)</f>
        <v>445.2318001561415</v>
      </c>
      <c r="D24" s="65">
        <f>PV(D14,10,0,-D23)</f>
        <v>481.39960693720224</v>
      </c>
      <c r="E24" s="1"/>
      <c r="G24" s="21"/>
      <c r="H24" s="21"/>
      <c r="I24" s="63"/>
    </row>
    <row r="25" spans="1:15" x14ac:dyDescent="0.35">
      <c r="E25" s="1"/>
      <c r="G25" s="15"/>
      <c r="H25" s="21"/>
      <c r="I25" s="66"/>
    </row>
    <row r="26" spans="1:15" ht="16" thickBot="1" x14ac:dyDescent="0.4">
      <c r="A26" s="67" t="s">
        <v>170</v>
      </c>
      <c r="C26" s="65">
        <f>C24+SUM(C15:L15)</f>
        <v>738.18953638749144</v>
      </c>
      <c r="D26" s="65">
        <f>D24+SUM(C15:L15)</f>
        <v>774.35734316855223</v>
      </c>
      <c r="E26" s="3"/>
      <c r="F26" s="2"/>
      <c r="G26" s="68"/>
      <c r="H26" s="69"/>
      <c r="I26" s="70"/>
      <c r="L26" s="65"/>
    </row>
    <row r="27" spans="1:15" ht="15" thickBot="1" x14ac:dyDescent="0.4">
      <c r="A27" t="s">
        <v>171</v>
      </c>
      <c r="C27" s="6">
        <f>D27</f>
        <v>26.5</v>
      </c>
      <c r="D27" s="6">
        <f>BS!D35</f>
        <v>26.5</v>
      </c>
      <c r="E27" s="1"/>
      <c r="F27" s="12"/>
      <c r="G27" s="16"/>
      <c r="H27" s="71"/>
      <c r="I27" s="72"/>
    </row>
    <row r="28" spans="1:15" ht="15" thickBot="1" x14ac:dyDescent="0.4">
      <c r="A28" t="s">
        <v>172</v>
      </c>
      <c r="C28" s="6">
        <f>D28</f>
        <v>179.7</v>
      </c>
      <c r="D28" s="6">
        <f>BS!D26</f>
        <v>179.7</v>
      </c>
      <c r="E28" s="1"/>
      <c r="I28" s="38"/>
    </row>
    <row r="29" spans="1:15" ht="15" thickBot="1" x14ac:dyDescent="0.4">
      <c r="A29" t="s">
        <v>173</v>
      </c>
      <c r="C29" s="6">
        <f>D29</f>
        <v>67.3</v>
      </c>
      <c r="D29" s="6">
        <f>BS!D19</f>
        <v>67.3</v>
      </c>
      <c r="E29" s="3"/>
      <c r="F29" s="73"/>
      <c r="G29" s="69"/>
      <c r="H29" s="68"/>
      <c r="I29" s="24"/>
    </row>
    <row r="30" spans="1:15" ht="15.5" x14ac:dyDescent="0.35">
      <c r="A30" s="67" t="s">
        <v>174</v>
      </c>
      <c r="C30" s="12">
        <f>C26-SUM(C27:C28)+C29</f>
        <v>599.28953638749135</v>
      </c>
      <c r="D30" s="12">
        <f>D26-SUM(D27:D28)+D29</f>
        <v>635.45734316855214</v>
      </c>
      <c r="E30" s="1"/>
    </row>
    <row r="31" spans="1:15" ht="15" thickBot="1" x14ac:dyDescent="0.4">
      <c r="A31" t="s">
        <v>175</v>
      </c>
      <c r="C31" s="6">
        <f>D31</f>
        <v>138.1</v>
      </c>
      <c r="D31" s="6">
        <f>'IS-CF'!D24</f>
        <v>138.1</v>
      </c>
      <c r="E31" s="1"/>
    </row>
    <row r="32" spans="1:15" ht="16" thickBot="1" x14ac:dyDescent="0.4">
      <c r="A32" s="74" t="s">
        <v>176</v>
      </c>
      <c r="C32" s="75">
        <f>C30/C31</f>
        <v>4.3395332106262954</v>
      </c>
      <c r="D32" s="75">
        <f>D30/D31</f>
        <v>4.601428987462362</v>
      </c>
      <c r="E32" s="1"/>
      <c r="F32" s="35"/>
      <c r="G32" s="19"/>
      <c r="H32" s="19"/>
      <c r="I32" s="21"/>
      <c r="J32" s="19"/>
      <c r="K32" s="19"/>
    </row>
    <row r="33" spans="1:11" x14ac:dyDescent="0.35">
      <c r="F33" s="127" t="s">
        <v>162</v>
      </c>
      <c r="G33" s="127"/>
      <c r="H33" s="127"/>
      <c r="I33" s="127"/>
      <c r="J33" s="127"/>
      <c r="K33" s="127"/>
    </row>
    <row r="34" spans="1:11" x14ac:dyDescent="0.35">
      <c r="C34" s="36"/>
      <c r="D34" s="36"/>
      <c r="F34" s="105">
        <f>D32</f>
        <v>4.601428987462362</v>
      </c>
      <c r="G34" s="83">
        <f>H34-0.0025</f>
        <v>6.4750000000000002E-2</v>
      </c>
      <c r="H34" s="83">
        <f>I34-0.0025</f>
        <v>6.7250000000000004E-2</v>
      </c>
      <c r="I34" s="116">
        <v>6.9750000000000006E-2</v>
      </c>
      <c r="J34" s="83">
        <f>I34+0.0025</f>
        <v>7.2250000000000009E-2</v>
      </c>
      <c r="K34" s="83">
        <f>J34+0.0025</f>
        <v>7.4750000000000011E-2</v>
      </c>
    </row>
    <row r="35" spans="1:11" x14ac:dyDescent="0.35">
      <c r="C35" s="7"/>
      <c r="E35" s="35"/>
      <c r="F35" s="12">
        <f>F36-0.5</f>
        <v>7.3000000000000007</v>
      </c>
      <c r="G35" s="81">
        <f t="dataTable" ref="G35:K39" dt2D="1" dtr="1" r1="O17" r2="D22"/>
        <v>4.3784302029259274</v>
      </c>
      <c r="H35" s="81">
        <v>4.2788569110901964</v>
      </c>
      <c r="I35" s="81">
        <v>4.1816225023406064</v>
      </c>
      <c r="J35" s="81">
        <v>4.0866647768113813</v>
      </c>
      <c r="K35" s="81">
        <v>3.9939233514469588</v>
      </c>
    </row>
    <row r="36" spans="1:11" x14ac:dyDescent="0.35">
      <c r="E36" s="76"/>
      <c r="F36" s="12">
        <f>F37-0.5</f>
        <v>7.8000000000000007</v>
      </c>
      <c r="G36" s="81">
        <v>4.598504490172898</v>
      </c>
      <c r="H36" s="81">
        <v>4.4938300296404279</v>
      </c>
      <c r="I36" s="81">
        <v>4.3916242165788253</v>
      </c>
      <c r="J36" s="81">
        <v>4.291821258388909</v>
      </c>
      <c r="K36" s="81">
        <v>4.1943572867929806</v>
      </c>
    </row>
    <row r="37" spans="1:11" x14ac:dyDescent="0.35">
      <c r="A37" s="4"/>
      <c r="E37" s="76"/>
      <c r="F37" s="115">
        <v>8.3000000000000007</v>
      </c>
      <c r="G37" s="81">
        <v>4.8185787774198685</v>
      </c>
      <c r="H37" s="81">
        <v>4.7088031481906611</v>
      </c>
      <c r="I37" s="81">
        <v>4.601625930817046</v>
      </c>
      <c r="J37" s="81">
        <v>4.4969777399664368</v>
      </c>
      <c r="K37" s="81">
        <v>4.3947912221390038</v>
      </c>
    </row>
    <row r="38" spans="1:11" x14ac:dyDescent="0.35">
      <c r="E38" s="64"/>
      <c r="F38" s="12">
        <f>F37+0.5</f>
        <v>8.8000000000000007</v>
      </c>
      <c r="G38" s="81">
        <v>5.0386530646668399</v>
      </c>
      <c r="H38" s="81">
        <v>4.9237762667408926</v>
      </c>
      <c r="I38" s="81">
        <v>4.8116276450552657</v>
      </c>
      <c r="J38" s="81">
        <v>4.7021342215439645</v>
      </c>
      <c r="K38" s="81">
        <v>4.5952251574850251</v>
      </c>
    </row>
    <row r="39" spans="1:11" x14ac:dyDescent="0.35">
      <c r="A39" s="4"/>
      <c r="C39" s="25"/>
      <c r="D39" s="25"/>
      <c r="E39" s="25"/>
      <c r="F39" s="12">
        <f>F38+0.5</f>
        <v>9.3000000000000007</v>
      </c>
      <c r="G39" s="81">
        <v>5.2587273519138105</v>
      </c>
      <c r="H39" s="81">
        <v>5.1387493852911241</v>
      </c>
      <c r="I39" s="81">
        <v>5.0216293592934846</v>
      </c>
      <c r="J39" s="81">
        <v>4.9072907031214923</v>
      </c>
      <c r="K39" s="81">
        <v>4.7956590928310492</v>
      </c>
    </row>
    <row r="40" spans="1:11" x14ac:dyDescent="0.35">
      <c r="A40" s="4"/>
      <c r="C40" s="106"/>
      <c r="D40" s="106"/>
      <c r="E40" s="107"/>
      <c r="F40" s="12"/>
      <c r="G40" s="83"/>
      <c r="H40" s="83"/>
      <c r="I40" s="84"/>
      <c r="J40" s="84"/>
      <c r="K40" s="84"/>
    </row>
    <row r="41" spans="1:11" x14ac:dyDescent="0.35">
      <c r="A41" s="4"/>
      <c r="C41" s="106"/>
      <c r="D41" s="106"/>
      <c r="E41" s="107"/>
      <c r="F41" s="127" t="s">
        <v>161</v>
      </c>
      <c r="G41" s="127"/>
      <c r="H41" s="127"/>
      <c r="I41" s="127"/>
      <c r="J41" s="127"/>
      <c r="K41" s="127"/>
    </row>
    <row r="42" spans="1:11" x14ac:dyDescent="0.35">
      <c r="B42" s="19"/>
      <c r="C42" s="92"/>
      <c r="D42" s="92"/>
      <c r="E42" s="92"/>
      <c r="F42" s="105">
        <f>C32</f>
        <v>4.3395332106262954</v>
      </c>
      <c r="G42" s="83">
        <f>H42-0.0025</f>
        <v>6.4750000000000002E-2</v>
      </c>
      <c r="H42" s="83">
        <f>I42-0.0025</f>
        <v>6.7250000000000004E-2</v>
      </c>
      <c r="I42" s="116">
        <v>6.9750000000000006E-2</v>
      </c>
      <c r="J42" s="83">
        <f>I42+0.0025</f>
        <v>7.2250000000000009E-2</v>
      </c>
      <c r="K42" s="83">
        <f>J42+0.0025</f>
        <v>7.4750000000000011E-2</v>
      </c>
    </row>
    <row r="43" spans="1:11" x14ac:dyDescent="0.35">
      <c r="B43" s="19"/>
      <c r="C43" s="92"/>
      <c r="D43" s="92"/>
      <c r="E43" s="92"/>
      <c r="F43" s="12">
        <f>F44-0.5</f>
        <v>7.3000000000000007</v>
      </c>
      <c r="G43" s="81">
        <v>5.104835066420419</v>
      </c>
      <c r="H43" s="81">
        <v>4.9901906951111901</v>
      </c>
      <c r="I43" s="81">
        <v>4.8782527390286683</v>
      </c>
      <c r="J43" s="81">
        <v>4.7689490567375863</v>
      </c>
      <c r="K43" s="81">
        <v>4.6622096167061438</v>
      </c>
    </row>
    <row r="44" spans="1:11" x14ac:dyDescent="0.35">
      <c r="B44" s="12"/>
      <c r="C44" s="108"/>
      <c r="D44" s="108"/>
      <c r="E44" s="108"/>
      <c r="F44" s="12">
        <f>F45-0.5</f>
        <v>7.8000000000000007</v>
      </c>
      <c r="G44" s="81">
        <v>5.361538429148629</v>
      </c>
      <c r="H44" s="81">
        <v>5.2409438526851408</v>
      </c>
      <c r="I44" s="81">
        <v>5.1232070537648688</v>
      </c>
      <c r="J44" s="81">
        <v>5.0082517002460412</v>
      </c>
      <c r="K44" s="81">
        <v>4.8960036952957608</v>
      </c>
    </row>
    <row r="45" spans="1:11" x14ac:dyDescent="0.35">
      <c r="A45" s="4"/>
      <c r="C45" s="106"/>
      <c r="D45" s="106"/>
      <c r="E45" s="107"/>
      <c r="F45" s="115">
        <v>8.3000000000000007</v>
      </c>
      <c r="G45" s="81">
        <v>5.6182417918768373</v>
      </c>
      <c r="H45" s="81">
        <v>5.4916970102590907</v>
      </c>
      <c r="I45" s="81">
        <v>5.3681613685010685</v>
      </c>
      <c r="J45" s="81">
        <v>5.2475543437544978</v>
      </c>
      <c r="K45" s="81">
        <v>5.1297977738853806</v>
      </c>
    </row>
    <row r="46" spans="1:11" x14ac:dyDescent="0.35">
      <c r="B46" s="109" t="s">
        <v>180</v>
      </c>
      <c r="C46" s="110" t="s">
        <v>181</v>
      </c>
      <c r="D46" s="111" t="s">
        <v>182</v>
      </c>
      <c r="E46" s="107"/>
      <c r="F46" s="12">
        <f>F45+0.5</f>
        <v>8.8000000000000007</v>
      </c>
      <c r="G46" s="81">
        <v>5.8749451546050464</v>
      </c>
      <c r="H46" s="81">
        <v>5.7424501678330406</v>
      </c>
      <c r="I46" s="81">
        <v>5.6131156832372691</v>
      </c>
      <c r="J46" s="81">
        <v>5.4868569872629536</v>
      </c>
      <c r="K46" s="81">
        <v>5.3635918524749977</v>
      </c>
    </row>
    <row r="47" spans="1:11" x14ac:dyDescent="0.35">
      <c r="A47" t="s">
        <v>162</v>
      </c>
      <c r="B47" s="12">
        <f>MIN(G35:K39)</f>
        <v>3.9939233514469588</v>
      </c>
      <c r="C47" s="12">
        <f>D47-B47</f>
        <v>1.2648040004668517</v>
      </c>
      <c r="D47" s="12">
        <f>MAX(G35:K39)</f>
        <v>5.2587273519138105</v>
      </c>
      <c r="E47" s="107"/>
      <c r="F47" s="12">
        <f>F46+0.5</f>
        <v>9.3000000000000007</v>
      </c>
      <c r="G47" s="81">
        <v>6.1316485173332547</v>
      </c>
      <c r="H47" s="81">
        <v>5.9932033254069914</v>
      </c>
      <c r="I47" s="81">
        <v>5.8580699979734696</v>
      </c>
      <c r="J47" s="81">
        <v>5.7261596307714084</v>
      </c>
      <c r="K47" s="81">
        <v>5.5973859310646157</v>
      </c>
    </row>
    <row r="48" spans="1:11" x14ac:dyDescent="0.35">
      <c r="A48" t="s">
        <v>161</v>
      </c>
      <c r="B48" s="12">
        <f>MIN(G43:K47)</f>
        <v>4.6622096167061438</v>
      </c>
      <c r="C48" s="12">
        <f>D48-B48</f>
        <v>1.4694389006271109</v>
      </c>
      <c r="D48" s="12">
        <f>MAX(G43:K47)</f>
        <v>6.1316485173332547</v>
      </c>
      <c r="E48" s="107"/>
      <c r="F48" s="12"/>
      <c r="G48" s="83"/>
      <c r="H48" s="83"/>
      <c r="I48" s="84"/>
      <c r="J48" s="84"/>
      <c r="K48" s="84"/>
    </row>
    <row r="49" spans="1:11" x14ac:dyDescent="0.35">
      <c r="A49" t="s">
        <v>179</v>
      </c>
      <c r="B49" s="90">
        <v>3.91</v>
      </c>
      <c r="C49" s="12">
        <f>D49-B49</f>
        <v>3.2699999999999996</v>
      </c>
      <c r="D49" s="90">
        <v>7.18</v>
      </c>
      <c r="E49" s="107"/>
      <c r="F49" s="12"/>
      <c r="G49" s="83"/>
      <c r="H49" s="83"/>
      <c r="I49" s="84"/>
      <c r="J49" s="84"/>
      <c r="K49" s="84"/>
    </row>
    <row r="50" spans="1:11" x14ac:dyDescent="0.35">
      <c r="A50" t="s">
        <v>192</v>
      </c>
      <c r="B50" s="12">
        <v>4.6260000000000003</v>
      </c>
      <c r="C50" s="12"/>
      <c r="D50" s="12"/>
      <c r="F50" s="21"/>
      <c r="G50" s="81"/>
      <c r="H50" s="81"/>
      <c r="I50" s="81"/>
      <c r="J50" s="81"/>
      <c r="K50" s="81"/>
    </row>
    <row r="51" spans="1:11" x14ac:dyDescent="0.35">
      <c r="F51" s="21"/>
      <c r="G51" s="81"/>
      <c r="H51" s="81"/>
      <c r="I51" s="81"/>
      <c r="J51" s="81"/>
      <c r="K51" s="81"/>
    </row>
    <row r="52" spans="1:11" x14ac:dyDescent="0.35">
      <c r="F52" s="15"/>
      <c r="G52" s="81"/>
      <c r="H52" s="81"/>
      <c r="I52" s="81"/>
      <c r="J52" s="81"/>
      <c r="K52" s="81"/>
    </row>
    <row r="53" spans="1:11" x14ac:dyDescent="0.35">
      <c r="F53" s="21"/>
      <c r="G53" s="81"/>
      <c r="H53" s="81"/>
      <c r="I53" s="81"/>
      <c r="J53" s="81"/>
      <c r="K53" s="81"/>
    </row>
    <row r="54" spans="1:11" x14ac:dyDescent="0.35">
      <c r="B54" s="12"/>
      <c r="F54" s="21"/>
      <c r="G54" s="81"/>
      <c r="H54" s="81"/>
      <c r="I54" s="81"/>
      <c r="J54" s="81"/>
      <c r="K54" s="81"/>
    </row>
    <row r="55" spans="1:11" x14ac:dyDescent="0.35">
      <c r="E55" s="21"/>
      <c r="F55" s="21"/>
      <c r="G55" s="12"/>
      <c r="H55" s="12"/>
      <c r="I55" s="12"/>
      <c r="J55" s="12"/>
      <c r="K55" s="12"/>
    </row>
    <row r="58" spans="1:11" x14ac:dyDescent="0.35">
      <c r="E58" s="21"/>
    </row>
    <row r="59" spans="1:11" x14ac:dyDescent="0.35">
      <c r="E59" s="21"/>
    </row>
    <row r="60" spans="1:11" x14ac:dyDescent="0.35">
      <c r="B60" s="12"/>
    </row>
    <row r="61" spans="1:11" x14ac:dyDescent="0.35">
      <c r="B61" s="12"/>
      <c r="C61" s="12"/>
      <c r="D61" s="12"/>
    </row>
    <row r="62" spans="1:11" x14ac:dyDescent="0.35">
      <c r="B62" s="12"/>
      <c r="C62" s="12"/>
      <c r="D62" s="12"/>
    </row>
    <row r="63" spans="1:11" x14ac:dyDescent="0.35">
      <c r="B63" s="12"/>
      <c r="C63" s="12"/>
      <c r="D63" s="12"/>
    </row>
    <row r="64" spans="1:11" x14ac:dyDescent="0.35">
      <c r="B64" s="12"/>
      <c r="C64" s="12"/>
      <c r="D64" s="12"/>
    </row>
  </sheetData>
  <scenarios current="2" sqref="C32:D32">
    <scenario name="Base case" count="5" user="GBTraining" comment="Created by GBTraining on 1/21/2014">
      <inputCells r="B42" val="0.003"/>
      <inputCells r="B43" val="0.7038"/>
      <inputCells r="B44" val="6.03"/>
      <inputCells r="B54" val="0.44"/>
      <inputCells r="B46" val="0.01"/>
    </scenario>
    <scenario name="Best Case" count="5" user="GBTraining" comment="Created by GBTraining on 1/21/2014">
      <inputCells r="B42" val="0.006"/>
      <inputCells r="B43" val="0.702"/>
      <inputCells r="B44" val="6.15"/>
      <inputCells r="B54" val="0.44"/>
      <inputCells r="B46" val="0.015"/>
    </scenario>
    <scenario name="Worst Case" count="5" user="GBTraining" comment="Created by GBTraining on 1/21/2014">
      <inputCells r="B42" val="0"/>
      <inputCells r="B43" val="0.706"/>
      <inputCells r="B44" val="5.63"/>
      <inputCells r="B54" val="0.5"/>
      <inputCells r="B46" val="0.0075"/>
    </scenario>
  </scenarios>
  <mergeCells count="4">
    <mergeCell ref="A1:L1"/>
    <mergeCell ref="N3:O3"/>
    <mergeCell ref="F33:K33"/>
    <mergeCell ref="F41:K41"/>
  </mergeCells>
  <conditionalFormatting sqref="G35:K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3:K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ignoredErrors>
    <ignoredError sqref="C30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Revnue analysis</vt:lpstr>
      <vt:lpstr>IS-CF</vt:lpstr>
      <vt:lpstr>BS</vt:lpstr>
      <vt:lpstr>D&amp;A</vt:lpstr>
      <vt:lpstr>WK Cap</vt:lpstr>
      <vt:lpstr>Debt &amp; Cash</vt:lpstr>
      <vt:lpstr>Equity</vt:lpstr>
      <vt:lpstr>DCF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</dc:creator>
  <cp:lastModifiedBy>Sandeep Agrawal</cp:lastModifiedBy>
  <dcterms:created xsi:type="dcterms:W3CDTF">2013-05-07T12:46:45Z</dcterms:created>
  <dcterms:modified xsi:type="dcterms:W3CDTF">2023-08-30T07:48:14Z</dcterms:modified>
</cp:coreProperties>
</file>